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C:\Users\CKerwin\Downloads\"/>
    </mc:Choice>
  </mc:AlternateContent>
  <bookViews>
    <workbookView xWindow="0" yWindow="0" windowWidth="20490" windowHeight="7080" tabRatio="870" firstSheet="8" activeTab="8"/>
  </bookViews>
  <sheets>
    <sheet name="Annual Controller Detail" sheetId="1" state="hidden" r:id="rId1"/>
    <sheet name="Capital O&amp;M" sheetId="44" state="hidden" r:id="rId2"/>
    <sheet name="Labor Data" sheetId="4" state="hidden" r:id="rId3"/>
    <sheet name="Other Cost Basis" sheetId="5" state="hidden" r:id="rId4"/>
    <sheet name="Controllers NSPS acreage" sheetId="24" state="hidden" r:id="rId5"/>
    <sheet name="Annual # of Respondants" sheetId="8" state="hidden" r:id="rId6"/>
    <sheet name="BURDEN SUMMARY" sheetId="33" state="hidden" r:id="rId7"/>
    <sheet name="Respondent Yr1" sheetId="29" state="hidden" r:id="rId8"/>
    <sheet name="1.A-Public" sheetId="36" r:id="rId9"/>
    <sheet name="1.B-Priv" sheetId="37" r:id="rId10"/>
    <sheet name="Respondent Yr2" sheetId="31" state="hidden" r:id="rId11"/>
    <sheet name="2.A-Public" sheetId="39" r:id="rId12"/>
    <sheet name="2.B-Priv" sheetId="40" r:id="rId13"/>
    <sheet name="Respondent Yr3" sheetId="32" state="hidden" r:id="rId14"/>
    <sheet name="3.A-Public" sheetId="42" r:id="rId15"/>
    <sheet name="3.B-Priv" sheetId="41" r:id="rId16"/>
    <sheet name="Agency Base Data" sheetId="17" state="hidden" r:id="rId17"/>
    <sheet name="1.C-Fed" sheetId="18" r:id="rId18"/>
    <sheet name="2.C-Fed" sheetId="34" r:id="rId19"/>
    <sheet name="3.C-Fed" sheetId="35" r:id="rId20"/>
    <sheet name="FY15 GSA Rate" sheetId="28" state="hidden" r:id="rId21"/>
  </sheets>
  <externalReferences>
    <externalReference r:id="rId22"/>
    <externalReference r:id="rId23"/>
    <externalReference r:id="rId24"/>
  </externalReferences>
  <definedNames>
    <definedName name="\b" localSheetId="8">#REF!</definedName>
    <definedName name="\b" localSheetId="9">#REF!</definedName>
    <definedName name="\b" localSheetId="11">#REF!</definedName>
    <definedName name="\b" localSheetId="12">#REF!</definedName>
    <definedName name="\b" localSheetId="18">#REF!</definedName>
    <definedName name="\b" localSheetId="14">#REF!</definedName>
    <definedName name="\b" localSheetId="15">#REF!</definedName>
    <definedName name="\b" localSheetId="19">#REF!</definedName>
    <definedName name="\b" localSheetId="6">#REF!</definedName>
    <definedName name="\b" localSheetId="20">#REF!</definedName>
    <definedName name="\b" localSheetId="7">#REF!</definedName>
    <definedName name="\b" localSheetId="10">#REF!</definedName>
    <definedName name="\b" localSheetId="13">#REF!</definedName>
    <definedName name="\b">#REF!</definedName>
    <definedName name="\c" localSheetId="8">#REF!</definedName>
    <definedName name="\c" localSheetId="9">#REF!</definedName>
    <definedName name="\c" localSheetId="11">#REF!</definedName>
    <definedName name="\c" localSheetId="12">#REF!</definedName>
    <definedName name="\c" localSheetId="18">#REF!</definedName>
    <definedName name="\c" localSheetId="14">#REF!</definedName>
    <definedName name="\c" localSheetId="15">#REF!</definedName>
    <definedName name="\c" localSheetId="19">#REF!</definedName>
    <definedName name="\c" localSheetId="6">#REF!</definedName>
    <definedName name="\c" localSheetId="20">#REF!</definedName>
    <definedName name="\c" localSheetId="7">#REF!</definedName>
    <definedName name="\c" localSheetId="10">#REF!</definedName>
    <definedName name="\c" localSheetId="13">#REF!</definedName>
    <definedName name="\c">#REF!</definedName>
    <definedName name="\p">#N/A</definedName>
    <definedName name="\z" localSheetId="8">#REF!</definedName>
    <definedName name="\z" localSheetId="9">#REF!</definedName>
    <definedName name="\z" localSheetId="11">#REF!</definedName>
    <definedName name="\z" localSheetId="12">#REF!</definedName>
    <definedName name="\z" localSheetId="18">#REF!</definedName>
    <definedName name="\z" localSheetId="14">#REF!</definedName>
    <definedName name="\z" localSheetId="15">#REF!</definedName>
    <definedName name="\z" localSheetId="19">#REF!</definedName>
    <definedName name="\z" localSheetId="6">#REF!</definedName>
    <definedName name="\z" localSheetId="20">#REF!</definedName>
    <definedName name="\z" localSheetId="7">#REF!</definedName>
    <definedName name="\z" localSheetId="10">#REF!</definedName>
    <definedName name="\z" localSheetId="13">#REF!</definedName>
    <definedName name="\z">#REF!</definedName>
    <definedName name="_xlnm._FilterDatabase" localSheetId="4" hidden="1">'Controllers NSPS acreage'!$A$2:$P$493</definedName>
    <definedName name="_ftn1" localSheetId="2">'Labor Data'!#REF!</definedName>
    <definedName name="_ftnref1" localSheetId="2">'Labor Data'!$C$7</definedName>
    <definedName name="_Ref354565577" localSheetId="2">'Labor Data'!$B$5</definedName>
    <definedName name="APPC" localSheetId="8">#REF!</definedName>
    <definedName name="APPC" localSheetId="9">#REF!</definedName>
    <definedName name="APPC" localSheetId="11">#REF!</definedName>
    <definedName name="APPC" localSheetId="12">#REF!</definedName>
    <definedName name="APPC" localSheetId="18">#REF!</definedName>
    <definedName name="APPC" localSheetId="14">#REF!</definedName>
    <definedName name="APPC" localSheetId="15">#REF!</definedName>
    <definedName name="APPC" localSheetId="19">#REF!</definedName>
    <definedName name="APPC" localSheetId="6">#REF!</definedName>
    <definedName name="APPC" localSheetId="20">#REF!</definedName>
    <definedName name="APPC" localSheetId="7">#REF!</definedName>
    <definedName name="APPC" localSheetId="10">#REF!</definedName>
    <definedName name="APPC" localSheetId="13">#REF!</definedName>
    <definedName name="APPC">#REF!</definedName>
    <definedName name="cler" localSheetId="6">[1]basis!$C$26</definedName>
    <definedName name="cler" localSheetId="20">[1]basis!$C$26</definedName>
    <definedName name="cler">[2]basis!$C$26</definedName>
    <definedName name="comptime" localSheetId="17">'1.C-Fed'!#REF!</definedName>
    <definedName name="comptime" localSheetId="18">'2.C-Fed'!#REF!</definedName>
    <definedName name="comptime" localSheetId="19">'3.C-Fed'!#REF!</definedName>
    <definedName name="DUST" localSheetId="8">#REF!</definedName>
    <definedName name="DUST" localSheetId="9">#REF!</definedName>
    <definedName name="DUST" localSheetId="11">#REF!</definedName>
    <definedName name="DUST" localSheetId="12">#REF!</definedName>
    <definedName name="DUST" localSheetId="18">#REF!</definedName>
    <definedName name="DUST" localSheetId="14">#REF!</definedName>
    <definedName name="DUST" localSheetId="15">#REF!</definedName>
    <definedName name="DUST" localSheetId="19">#REF!</definedName>
    <definedName name="DUST" localSheetId="6">#REF!</definedName>
    <definedName name="DUST" localSheetId="20">#REF!</definedName>
    <definedName name="DUST" localSheetId="7">#REF!</definedName>
    <definedName name="DUST" localSheetId="10">#REF!</definedName>
    <definedName name="DUST" localSheetId="13">#REF!</definedName>
    <definedName name="DUST">#REF!</definedName>
    <definedName name="excd" localSheetId="6">[1]basis!$C$19</definedName>
    <definedName name="excd" localSheetId="20">[1]basis!$C$19</definedName>
    <definedName name="excd">[2]basis!$C$19</definedName>
    <definedName name="GOVERNMENT" localSheetId="8">#REF!</definedName>
    <definedName name="GOVERNMENT" localSheetId="9">#REF!</definedName>
    <definedName name="GOVERNMENT" localSheetId="11">#REF!</definedName>
    <definedName name="GOVERNMENT" localSheetId="12">#REF!</definedName>
    <definedName name="GOVERNMENT" localSheetId="18">#REF!</definedName>
    <definedName name="GOVERNMENT" localSheetId="14">#REF!</definedName>
    <definedName name="GOVERNMENT" localSheetId="15">#REF!</definedName>
    <definedName name="GOVERNMENT" localSheetId="19">#REF!</definedName>
    <definedName name="GOVERNMENT" localSheetId="6">#REF!</definedName>
    <definedName name="GOVERNMENT" localSheetId="20">#REF!</definedName>
    <definedName name="GOVERNMENT" localSheetId="7">#REF!</definedName>
    <definedName name="GOVERNMENT" localSheetId="10">#REF!</definedName>
    <definedName name="GOVERNMENT" localSheetId="13">#REF!</definedName>
    <definedName name="GOVERNMENT">#REF!</definedName>
    <definedName name="INDUSTRY" localSheetId="8">#REF!</definedName>
    <definedName name="INDUSTRY" localSheetId="9">#REF!</definedName>
    <definedName name="INDUSTRY" localSheetId="11">#REF!</definedName>
    <definedName name="INDUSTRY" localSheetId="12">#REF!</definedName>
    <definedName name="INDUSTRY" localSheetId="18">#REF!</definedName>
    <definedName name="INDUSTRY" localSheetId="14">#REF!</definedName>
    <definedName name="INDUSTRY" localSheetId="15">#REF!</definedName>
    <definedName name="INDUSTRY" localSheetId="19">#REF!</definedName>
    <definedName name="INDUSTRY" localSheetId="6">#REF!</definedName>
    <definedName name="INDUSTRY" localSheetId="20">#REF!</definedName>
    <definedName name="INDUSTRY" localSheetId="7">#REF!</definedName>
    <definedName name="INDUSTRY" localSheetId="10">#REF!</definedName>
    <definedName name="INDUSTRY" localSheetId="13">#REF!</definedName>
    <definedName name="INDUSTRY">#REF!</definedName>
    <definedName name="June_2003_HMIWI_Inventory" localSheetId="8">#REF!</definedName>
    <definedName name="June_2003_HMIWI_Inventory" localSheetId="9">#REF!</definedName>
    <definedName name="June_2003_HMIWI_Inventory" localSheetId="11">#REF!</definedName>
    <definedName name="June_2003_HMIWI_Inventory" localSheetId="12">#REF!</definedName>
    <definedName name="June_2003_HMIWI_Inventory" localSheetId="18">#REF!</definedName>
    <definedName name="June_2003_HMIWI_Inventory" localSheetId="14">#REF!</definedName>
    <definedName name="June_2003_HMIWI_Inventory" localSheetId="15">#REF!</definedName>
    <definedName name="June_2003_HMIWI_Inventory" localSheetId="19">#REF!</definedName>
    <definedName name="June_2003_HMIWI_Inventory" localSheetId="6">#REF!</definedName>
    <definedName name="June_2003_HMIWI_Inventory" localSheetId="20">#REF!</definedName>
    <definedName name="June_2003_HMIWI_Inventory" localSheetId="7">#REF!</definedName>
    <definedName name="June_2003_HMIWI_Inventory" localSheetId="10">#REF!</definedName>
    <definedName name="June_2003_HMIWI_Inventory" localSheetId="13">#REF!</definedName>
    <definedName name="June_2003_HMIWI_Inventory">#REF!</definedName>
    <definedName name="LIME" localSheetId="8">#REF!</definedName>
    <definedName name="LIME" localSheetId="9">#REF!</definedName>
    <definedName name="LIME" localSheetId="11">#REF!</definedName>
    <definedName name="LIME" localSheetId="12">#REF!</definedName>
    <definedName name="LIME" localSheetId="18">#REF!</definedName>
    <definedName name="LIME" localSheetId="14">#REF!</definedName>
    <definedName name="LIME" localSheetId="15">#REF!</definedName>
    <definedName name="LIME" localSheetId="19">#REF!</definedName>
    <definedName name="LIME" localSheetId="6">#REF!</definedName>
    <definedName name="LIME" localSheetId="20">#REF!</definedName>
    <definedName name="LIME" localSheetId="7">#REF!</definedName>
    <definedName name="LIME" localSheetId="10">#REF!</definedName>
    <definedName name="LIME" localSheetId="13">#REF!</definedName>
    <definedName name="LIME">#REF!</definedName>
    <definedName name="lit" localSheetId="6">[1]basis!$C$13</definedName>
    <definedName name="lit" localSheetId="20">[1]basis!$C$13</definedName>
    <definedName name="lit">[2]basis!$C$13</definedName>
    <definedName name="mang" localSheetId="6">[1]basis!$C$25</definedName>
    <definedName name="mang" localSheetId="20">[1]basis!$C$25</definedName>
    <definedName name="mang">[2]basis!$C$25</definedName>
    <definedName name="new_respondents" localSheetId="6">[1]basis!$C$17</definedName>
    <definedName name="new_respondents" localSheetId="20">[1]basis!$C$17</definedName>
    <definedName name="new_respondents">[2]basis!$C$17</definedName>
    <definedName name="noexcd" localSheetId="6">[1]basis!$C$20</definedName>
    <definedName name="noexcd" localSheetId="20">[1]basis!$C$20</definedName>
    <definedName name="noexcd">[2]basis!$C$20</definedName>
    <definedName name="_xlnm.Print_Area" localSheetId="8">'1.A-Public'!$A$1:$R$57</definedName>
    <definedName name="_xlnm.Print_Area" localSheetId="9">'1.B-Priv'!$A$1:$R$57</definedName>
    <definedName name="_xlnm.Print_Area" localSheetId="17">'1.C-Fed'!$A$1:$N$43</definedName>
    <definedName name="_xlnm.Print_Area" localSheetId="11">'2.A-Public'!$A$1:$R$57</definedName>
    <definedName name="_xlnm.Print_Area" localSheetId="12">'2.B-Priv'!$A$1:$R$56</definedName>
    <definedName name="_xlnm.Print_Area" localSheetId="18">'2.C-Fed'!$A$1:$N$43</definedName>
    <definedName name="_xlnm.Print_Area" localSheetId="14">'3.A-Public'!$A$1:$R$57</definedName>
    <definedName name="_xlnm.Print_Area" localSheetId="15">'3.B-Priv'!$A$1:$R$57</definedName>
    <definedName name="_xlnm.Print_Area" localSheetId="19">'3.C-Fed'!$A$1:$N$44</definedName>
    <definedName name="_xlnm.Print_Area" localSheetId="7">'Respondent Yr1'!$A$1:$R$59</definedName>
    <definedName name="_xlnm.Print_Area" localSheetId="10">'Respondent Yr2'!$A$1:$R$58</definedName>
    <definedName name="_xlnm.Print_Area" localSheetId="13">'Respondent Yr3'!$A$1:$R$58</definedName>
    <definedName name="_xlnm.Print_Titles" localSheetId="8">'1.A-Public'!$1:$3</definedName>
    <definedName name="_xlnm.Print_Titles" localSheetId="9">'1.B-Priv'!$1:$3</definedName>
    <definedName name="_xlnm.Print_Titles" localSheetId="11">'2.A-Public'!$1:$3</definedName>
    <definedName name="_xlnm.Print_Titles" localSheetId="12">'2.B-Priv'!$1:$3</definedName>
    <definedName name="_xlnm.Print_Titles" localSheetId="14">'3.A-Public'!$1:$3</definedName>
    <definedName name="_xlnm.Print_Titles" localSheetId="15">'3.B-Priv'!$1:$3</definedName>
    <definedName name="_xlnm.Print_Titles" localSheetId="7">'Respondent Yr1'!$1:$3</definedName>
    <definedName name="_xlnm.Print_Titles" localSheetId="10">'Respondent Yr2'!$1:$3</definedName>
    <definedName name="_xlnm.Print_Titles" localSheetId="13">'Respondent Yr3'!$1:$3</definedName>
    <definedName name="read1" localSheetId="8">#REF!</definedName>
    <definedName name="read1" localSheetId="9">#REF!</definedName>
    <definedName name="read1" localSheetId="11">#REF!</definedName>
    <definedName name="read1" localSheetId="12">#REF!</definedName>
    <definedName name="read1" localSheetId="18">#REF!</definedName>
    <definedName name="read1" localSheetId="14">#REF!</definedName>
    <definedName name="read1" localSheetId="15">#REF!</definedName>
    <definedName name="read1" localSheetId="19">#REF!</definedName>
    <definedName name="read1" localSheetId="6">#REF!</definedName>
    <definedName name="read1" localSheetId="20">#REF!</definedName>
    <definedName name="read1" localSheetId="7">#REF!</definedName>
    <definedName name="read1" localSheetId="10">#REF!</definedName>
    <definedName name="read1" localSheetId="13">#REF!</definedName>
    <definedName name="read1">#REF!</definedName>
    <definedName name="respondents" localSheetId="17">'1.C-Fed'!#REF!</definedName>
    <definedName name="respondents" localSheetId="18">'2.C-Fed'!#REF!</definedName>
    <definedName name="respondents" localSheetId="19">'3.C-Fed'!#REF!</definedName>
    <definedName name="retest" localSheetId="17">'1.C-Fed'!#REF!</definedName>
    <definedName name="retest" localSheetId="18">'2.C-Fed'!#REF!</definedName>
    <definedName name="retest" localSheetId="19">'3.C-Fed'!#REF!</definedName>
    <definedName name="sperfac" localSheetId="17">'1.C-Fed'!#REF!</definedName>
    <definedName name="sperfac" localSheetId="18">'2.C-Fed'!#REF!</definedName>
    <definedName name="sperfac" localSheetId="19">'3.C-Fed'!#REF!</definedName>
    <definedName name="ssmalf" localSheetId="6">[1]basis!$C$21</definedName>
    <definedName name="ssmalf" localSheetId="20">[1]basis!$C$21</definedName>
    <definedName name="ssmalf">[2]basis!$C$21</definedName>
    <definedName name="TABLE1" localSheetId="8">#REF!</definedName>
    <definedName name="TABLE1" localSheetId="9">#REF!</definedName>
    <definedName name="TABLE1" localSheetId="11">#REF!</definedName>
    <definedName name="TABLE1" localSheetId="12">#REF!</definedName>
    <definedName name="TABLE1" localSheetId="18">#REF!</definedName>
    <definedName name="TABLE1" localSheetId="14">#REF!</definedName>
    <definedName name="TABLE1" localSheetId="15">#REF!</definedName>
    <definedName name="TABLE1" localSheetId="19">#REF!</definedName>
    <definedName name="TABLE1" localSheetId="6">#REF!</definedName>
    <definedName name="TABLE1" localSheetId="20">#REF!</definedName>
    <definedName name="TABLE1" localSheetId="7">#REF!</definedName>
    <definedName name="TABLE1" localSheetId="10">#REF!</definedName>
    <definedName name="TABLE1" localSheetId="13">#REF!</definedName>
    <definedName name="TABLE1">#REF!</definedName>
    <definedName name="TABLE16">#N/A</definedName>
    <definedName name="TABLE17">#N/A</definedName>
    <definedName name="TABLE2" localSheetId="8">#REF!</definedName>
    <definedName name="TABLE2" localSheetId="9">#REF!</definedName>
    <definedName name="TABLE2" localSheetId="11">#REF!</definedName>
    <definedName name="TABLE2" localSheetId="12">#REF!</definedName>
    <definedName name="TABLE2" localSheetId="18">#REF!</definedName>
    <definedName name="TABLE2" localSheetId="14">#REF!</definedName>
    <definedName name="TABLE2" localSheetId="15">#REF!</definedName>
    <definedName name="TABLE2" localSheetId="19">#REF!</definedName>
    <definedName name="TABLE2" localSheetId="6">#REF!</definedName>
    <definedName name="TABLE2" localSheetId="20">#REF!</definedName>
    <definedName name="TABLE2" localSheetId="7">#REF!</definedName>
    <definedName name="TABLE2" localSheetId="10">#REF!</definedName>
    <definedName name="TABLE2" localSheetId="13">#REF!</definedName>
    <definedName name="TABLE2">#REF!</definedName>
    <definedName name="TABLE23">#N/A</definedName>
    <definedName name="tech" localSheetId="6">[1]basis!$C$24</definedName>
    <definedName name="tech" localSheetId="20">[1]basis!$C$24</definedName>
    <definedName name="tech">[2]basis!$C$24</definedName>
    <definedName name="TOTAL" localSheetId="8">#REF!</definedName>
    <definedName name="TOTAL" localSheetId="9">#REF!</definedName>
    <definedName name="TOTAL" localSheetId="11">#REF!</definedName>
    <definedName name="TOTAL" localSheetId="12">#REF!</definedName>
    <definedName name="TOTAL" localSheetId="18">#REF!</definedName>
    <definedName name="TOTAL" localSheetId="14">#REF!</definedName>
    <definedName name="TOTAL" localSheetId="15">#REF!</definedName>
    <definedName name="TOTAL" localSheetId="19">#REF!</definedName>
    <definedName name="TOTAL" localSheetId="6">#REF!</definedName>
    <definedName name="TOTAL" localSheetId="20">#REF!</definedName>
    <definedName name="TOTAL" localSheetId="7">#REF!</definedName>
    <definedName name="TOTAL" localSheetId="10">#REF!</definedName>
    <definedName name="TOTAL" localSheetId="13">#REF!</definedName>
    <definedName name="TOTAL">#REF!</definedName>
  </definedNames>
  <calcPr calcId="171027"/>
</workbook>
</file>

<file path=xl/calcChain.xml><?xml version="1.0" encoding="utf-8"?>
<calcChain xmlns="http://schemas.openxmlformats.org/spreadsheetml/2006/main">
  <c r="E15" i="44" l="1"/>
  <c r="E5" i="44"/>
  <c r="D4" i="5"/>
  <c r="D18" i="32" s="1"/>
  <c r="D18" i="31" l="1"/>
  <c r="D18" i="42"/>
  <c r="D18" i="29"/>
  <c r="D18" i="39"/>
  <c r="D18" i="41"/>
  <c r="D18" i="36"/>
  <c r="D18" i="40"/>
  <c r="D18" i="37"/>
  <c r="V23" i="31" l="1"/>
  <c r="V24" i="31" s="1"/>
  <c r="H4" i="44"/>
  <c r="H5" i="44"/>
  <c r="H6" i="44"/>
  <c r="H7" i="44"/>
  <c r="H8" i="44"/>
  <c r="E9" i="44"/>
  <c r="E10" i="44"/>
  <c r="E8" i="44"/>
  <c r="E7" i="44"/>
  <c r="E6" i="44"/>
  <c r="E4" i="44"/>
  <c r="C11" i="8"/>
  <c r="D11" i="8" s="1"/>
  <c r="U8" i="32"/>
  <c r="U7" i="32"/>
  <c r="E12" i="44" l="1"/>
  <c r="H12" i="44"/>
  <c r="J12" i="44" l="1"/>
  <c r="O19" i="40" l="1"/>
  <c r="Q18" i="41"/>
  <c r="Q18" i="42"/>
  <c r="Q18" i="40"/>
  <c r="Q18" i="39"/>
  <c r="Q18" i="37"/>
  <c r="Q18" i="36"/>
  <c r="Q9" i="41"/>
  <c r="Q9" i="42"/>
  <c r="Q9" i="40"/>
  <c r="Q9" i="39"/>
  <c r="E9" i="41"/>
  <c r="E9" i="42"/>
  <c r="E9" i="40"/>
  <c r="E9" i="39"/>
  <c r="C11" i="41"/>
  <c r="G11" i="41" s="1"/>
  <c r="C11" i="42"/>
  <c r="G11" i="42" s="1"/>
  <c r="G11" i="40"/>
  <c r="C11" i="40"/>
  <c r="C11" i="39"/>
  <c r="G11" i="39" s="1"/>
  <c r="Q9" i="37"/>
  <c r="Q9" i="36"/>
  <c r="E9" i="37"/>
  <c r="E9" i="36"/>
  <c r="C11" i="37"/>
  <c r="G11" i="37" s="1"/>
  <c r="C11" i="36"/>
  <c r="G11" i="36" s="1"/>
  <c r="H36" i="32" l="1"/>
  <c r="H36" i="31" l="1"/>
  <c r="H36" i="29"/>
  <c r="Q18" i="32"/>
  <c r="C11" i="32"/>
  <c r="G11" i="32" s="1"/>
  <c r="Q18" i="29"/>
  <c r="Q18" i="31"/>
  <c r="C11" i="31"/>
  <c r="G11" i="31" s="1"/>
  <c r="Q9" i="32"/>
  <c r="Q9" i="29"/>
  <c r="E9" i="32"/>
  <c r="E9" i="31"/>
  <c r="Q9" i="31"/>
  <c r="Q26" i="29" l="1"/>
  <c r="E18" i="8"/>
  <c r="U34" i="29"/>
  <c r="U8" i="29"/>
  <c r="C11" i="29"/>
  <c r="F15" i="5"/>
  <c r="G11" i="29"/>
  <c r="B15" i="5"/>
  <c r="E9" i="29"/>
  <c r="D18" i="5"/>
  <c r="D19" i="5"/>
  <c r="D17" i="5"/>
  <c r="D11" i="36" l="1"/>
  <c r="D11" i="41"/>
  <c r="D11" i="37"/>
  <c r="D11" i="42"/>
  <c r="D11" i="39"/>
  <c r="D11" i="40"/>
  <c r="D11" i="31"/>
  <c r="D11" i="32"/>
  <c r="D11" i="29"/>
  <c r="E11" i="29" s="1"/>
  <c r="K5" i="28"/>
  <c r="J5" i="28"/>
  <c r="J20" i="35"/>
  <c r="I20" i="35"/>
  <c r="L19" i="35"/>
  <c r="K19" i="35"/>
  <c r="J19" i="35"/>
  <c r="M19" i="35" s="1"/>
  <c r="I19" i="35"/>
  <c r="J13" i="35"/>
  <c r="L13" i="35" s="1"/>
  <c r="I5" i="35"/>
  <c r="J5" i="35" s="1"/>
  <c r="J20" i="34"/>
  <c r="I20" i="34"/>
  <c r="K19" i="34"/>
  <c r="I19" i="34"/>
  <c r="J19" i="34" s="1"/>
  <c r="J13" i="34"/>
  <c r="L13" i="34" s="1"/>
  <c r="I5" i="34"/>
  <c r="J5" i="34" s="1"/>
  <c r="J20" i="18"/>
  <c r="I20" i="18"/>
  <c r="L19" i="18"/>
  <c r="K19" i="18"/>
  <c r="J19" i="18"/>
  <c r="I19" i="18"/>
  <c r="J13" i="18"/>
  <c r="L13" i="18" s="1"/>
  <c r="I5" i="18"/>
  <c r="J5" i="18" s="1"/>
  <c r="C18" i="17"/>
  <c r="D6" i="17"/>
  <c r="D5" i="17"/>
  <c r="D4" i="17"/>
  <c r="S38" i="41"/>
  <c r="Q38" i="41"/>
  <c r="P38" i="41"/>
  <c r="J38" i="41"/>
  <c r="H35" i="41"/>
  <c r="H34" i="41"/>
  <c r="H33" i="41"/>
  <c r="S26" i="41"/>
  <c r="H25" i="41"/>
  <c r="H22" i="41"/>
  <c r="H21" i="41"/>
  <c r="P20" i="41"/>
  <c r="O20" i="41"/>
  <c r="C20" i="41"/>
  <c r="H20" i="41" s="1"/>
  <c r="K20" i="41" s="1"/>
  <c r="P19" i="41"/>
  <c r="O19" i="41"/>
  <c r="K19" i="41"/>
  <c r="H19" i="41"/>
  <c r="H18" i="41"/>
  <c r="H17" i="41"/>
  <c r="P16" i="41"/>
  <c r="L16" i="41"/>
  <c r="I16" i="41"/>
  <c r="O16" i="41" s="1"/>
  <c r="H16" i="41"/>
  <c r="K16" i="41" s="1"/>
  <c r="M16" i="41" s="1"/>
  <c r="H15" i="41"/>
  <c r="H9" i="41"/>
  <c r="H7" i="41"/>
  <c r="S38" i="42"/>
  <c r="Q38" i="42"/>
  <c r="P38" i="42"/>
  <c r="J38" i="42"/>
  <c r="H35" i="42"/>
  <c r="H34" i="42"/>
  <c r="H33" i="42"/>
  <c r="S26" i="42"/>
  <c r="H25" i="42"/>
  <c r="H22" i="42"/>
  <c r="H21" i="42"/>
  <c r="P20" i="42"/>
  <c r="O20" i="42"/>
  <c r="C20" i="42"/>
  <c r="H20" i="42" s="1"/>
  <c r="K20" i="42" s="1"/>
  <c r="L20" i="42" s="1"/>
  <c r="P19" i="42"/>
  <c r="O19" i="42"/>
  <c r="H19" i="42"/>
  <c r="K19" i="42" s="1"/>
  <c r="L19" i="42" s="1"/>
  <c r="H18" i="42"/>
  <c r="H17" i="42"/>
  <c r="I16" i="42"/>
  <c r="P16" i="42" s="1"/>
  <c r="H16" i="42"/>
  <c r="K16" i="42" s="1"/>
  <c r="H15" i="42"/>
  <c r="H9" i="42"/>
  <c r="H7" i="42"/>
  <c r="S39" i="32"/>
  <c r="Q39" i="32"/>
  <c r="P39" i="32"/>
  <c r="J39" i="32"/>
  <c r="H35" i="32"/>
  <c r="H34" i="32"/>
  <c r="S26" i="32"/>
  <c r="H25" i="32"/>
  <c r="H22" i="32"/>
  <c r="H21" i="32"/>
  <c r="P20" i="32"/>
  <c r="O20" i="32"/>
  <c r="C20" i="32"/>
  <c r="H20" i="32" s="1"/>
  <c r="K20" i="32" s="1"/>
  <c r="P19" i="32"/>
  <c r="O19" i="32"/>
  <c r="H19" i="32"/>
  <c r="K19" i="32" s="1"/>
  <c r="Q26" i="32"/>
  <c r="H18" i="32"/>
  <c r="H17" i="32"/>
  <c r="P16" i="32"/>
  <c r="I16" i="32"/>
  <c r="O16" i="32" s="1"/>
  <c r="H16" i="32"/>
  <c r="K16" i="32" s="1"/>
  <c r="L16" i="32" s="1"/>
  <c r="H15" i="32"/>
  <c r="H9" i="32"/>
  <c r="H7" i="32"/>
  <c r="S38" i="40"/>
  <c r="Q38" i="40"/>
  <c r="P38" i="40"/>
  <c r="J38" i="40"/>
  <c r="H35" i="40"/>
  <c r="H34" i="40"/>
  <c r="H33" i="40"/>
  <c r="S26" i="40"/>
  <c r="H25" i="40"/>
  <c r="H22" i="40"/>
  <c r="H21" i="40"/>
  <c r="P20" i="40"/>
  <c r="O20" i="40"/>
  <c r="C20" i="40"/>
  <c r="H20" i="40" s="1"/>
  <c r="K20" i="40" s="1"/>
  <c r="L20" i="40" s="1"/>
  <c r="P19" i="40"/>
  <c r="L19" i="40"/>
  <c r="H19" i="40"/>
  <c r="K19" i="40" s="1"/>
  <c r="M19" i="40" s="1"/>
  <c r="H18" i="40"/>
  <c r="H17" i="40"/>
  <c r="P16" i="40"/>
  <c r="O16" i="40"/>
  <c r="K16" i="40"/>
  <c r="I16" i="40"/>
  <c r="H16" i="40"/>
  <c r="I15" i="40"/>
  <c r="P15" i="40" s="1"/>
  <c r="H15" i="40"/>
  <c r="H9" i="40"/>
  <c r="H7" i="40"/>
  <c r="S38" i="39"/>
  <c r="Q38" i="39"/>
  <c r="P38" i="39"/>
  <c r="J38" i="39"/>
  <c r="H35" i="39"/>
  <c r="H34" i="39"/>
  <c r="H33" i="39"/>
  <c r="S26" i="39"/>
  <c r="H25" i="39"/>
  <c r="H22" i="39"/>
  <c r="H21" i="39"/>
  <c r="P20" i="39"/>
  <c r="O20" i="39"/>
  <c r="C20" i="39"/>
  <c r="H20" i="39" s="1"/>
  <c r="K20" i="39" s="1"/>
  <c r="P19" i="39"/>
  <c r="O19" i="39"/>
  <c r="K19" i="39"/>
  <c r="H19" i="39"/>
  <c r="H18" i="39"/>
  <c r="H17" i="39"/>
  <c r="I16" i="39"/>
  <c r="H16" i="39"/>
  <c r="I15" i="39"/>
  <c r="O15" i="39" s="1"/>
  <c r="H15" i="39"/>
  <c r="I10" i="39"/>
  <c r="H9" i="39"/>
  <c r="H7" i="39"/>
  <c r="S39" i="31"/>
  <c r="Q39" i="31"/>
  <c r="P39" i="31"/>
  <c r="J39" i="31"/>
  <c r="H35" i="31"/>
  <c r="H34" i="31"/>
  <c r="S26" i="31"/>
  <c r="H25" i="31"/>
  <c r="H22" i="31"/>
  <c r="H21" i="31"/>
  <c r="P20" i="31"/>
  <c r="O20" i="31"/>
  <c r="C20" i="31"/>
  <c r="H20" i="31" s="1"/>
  <c r="K20" i="31" s="1"/>
  <c r="P19" i="31"/>
  <c r="O19" i="31"/>
  <c r="H19" i="31"/>
  <c r="K19" i="31" s="1"/>
  <c r="V18" i="31"/>
  <c r="H18" i="31"/>
  <c r="H17" i="31"/>
  <c r="P16" i="31"/>
  <c r="O16" i="31"/>
  <c r="I16" i="31"/>
  <c r="H15" i="34" s="1"/>
  <c r="I15" i="34" s="1"/>
  <c r="J15" i="34" s="1"/>
  <c r="H16" i="31"/>
  <c r="K16" i="31" s="1"/>
  <c r="V15" i="31"/>
  <c r="I15" i="31"/>
  <c r="P15" i="31" s="1"/>
  <c r="H15" i="31"/>
  <c r="V14" i="31"/>
  <c r="H9" i="31"/>
  <c r="H7" i="31"/>
  <c r="S38" i="37"/>
  <c r="Q38" i="37"/>
  <c r="P38" i="37"/>
  <c r="J38" i="37"/>
  <c r="H35" i="37"/>
  <c r="H34" i="37"/>
  <c r="H33" i="37"/>
  <c r="S26" i="37"/>
  <c r="H25" i="37"/>
  <c r="H22" i="37"/>
  <c r="H21" i="37"/>
  <c r="P20" i="37"/>
  <c r="O20" i="37"/>
  <c r="M20" i="37"/>
  <c r="L20" i="37"/>
  <c r="C20" i="37"/>
  <c r="H20" i="37" s="1"/>
  <c r="K20" i="37" s="1"/>
  <c r="P19" i="37"/>
  <c r="O19" i="37"/>
  <c r="M19" i="37"/>
  <c r="L19" i="37"/>
  <c r="H19" i="37"/>
  <c r="K19" i="37" s="1"/>
  <c r="H18" i="37"/>
  <c r="H17" i="37"/>
  <c r="I16" i="37"/>
  <c r="H16" i="37"/>
  <c r="H15" i="37"/>
  <c r="I10" i="37"/>
  <c r="H9" i="37"/>
  <c r="H7" i="37"/>
  <c r="S38" i="36"/>
  <c r="Q38" i="36"/>
  <c r="P38" i="36"/>
  <c r="J38" i="36"/>
  <c r="H35" i="36"/>
  <c r="H34" i="36"/>
  <c r="H33" i="36"/>
  <c r="S26" i="36"/>
  <c r="H25" i="36"/>
  <c r="H22" i="36"/>
  <c r="H21" i="36"/>
  <c r="P20" i="36"/>
  <c r="O20" i="36"/>
  <c r="H20" i="36"/>
  <c r="K20" i="36" s="1"/>
  <c r="C20" i="36"/>
  <c r="P19" i="36"/>
  <c r="O19" i="36"/>
  <c r="K19" i="36"/>
  <c r="H19" i="36"/>
  <c r="H18" i="36"/>
  <c r="H17" i="36"/>
  <c r="O16" i="36"/>
  <c r="K16" i="36"/>
  <c r="I16" i="36"/>
  <c r="P16" i="36" s="1"/>
  <c r="H16" i="36"/>
  <c r="H15" i="36"/>
  <c r="H9" i="36"/>
  <c r="H7" i="36"/>
  <c r="S39" i="29"/>
  <c r="Q39" i="29"/>
  <c r="Q40" i="29" s="1"/>
  <c r="P39" i="29"/>
  <c r="J39" i="29"/>
  <c r="H35" i="29"/>
  <c r="H34" i="29"/>
  <c r="S26" i="29"/>
  <c r="O25" i="29"/>
  <c r="H25" i="29"/>
  <c r="H22" i="29"/>
  <c r="H21" i="29"/>
  <c r="P20" i="29"/>
  <c r="O20" i="29"/>
  <c r="C20" i="29"/>
  <c r="H20" i="29" s="1"/>
  <c r="K20" i="29" s="1"/>
  <c r="P19" i="29"/>
  <c r="O19" i="29"/>
  <c r="H19" i="29"/>
  <c r="K19" i="29" s="1"/>
  <c r="H18" i="29"/>
  <c r="H17" i="29"/>
  <c r="O16" i="29"/>
  <c r="K16" i="29"/>
  <c r="I16" i="29"/>
  <c r="P16" i="29" s="1"/>
  <c r="H16" i="29"/>
  <c r="H15" i="29"/>
  <c r="H9" i="29"/>
  <c r="H7" i="29"/>
  <c r="P43" i="8"/>
  <c r="O43" i="8"/>
  <c r="N43" i="8"/>
  <c r="R42" i="8"/>
  <c r="R41" i="8"/>
  <c r="N35" i="8"/>
  <c r="B29" i="8"/>
  <c r="P25" i="8"/>
  <c r="I12" i="8" s="1"/>
  <c r="I9" i="32" s="1"/>
  <c r="O25" i="8"/>
  <c r="N25" i="8"/>
  <c r="C6" i="8" s="1"/>
  <c r="I25" i="29" s="1"/>
  <c r="B25" i="8"/>
  <c r="B26" i="8" s="1"/>
  <c r="T24" i="8"/>
  <c r="S24" i="8"/>
  <c r="R24" i="8"/>
  <c r="T23" i="8"/>
  <c r="S23" i="8"/>
  <c r="R23" i="8"/>
  <c r="P19" i="8"/>
  <c r="O19" i="8"/>
  <c r="N19" i="8"/>
  <c r="E19" i="8"/>
  <c r="T18" i="8"/>
  <c r="S18" i="8"/>
  <c r="R18" i="8"/>
  <c r="T17" i="8"/>
  <c r="S17" i="8"/>
  <c r="R17" i="8"/>
  <c r="N13" i="8"/>
  <c r="R12" i="8"/>
  <c r="N12" i="8"/>
  <c r="K12" i="8"/>
  <c r="I9" i="41" s="1"/>
  <c r="I21" i="41" s="1"/>
  <c r="J12" i="8"/>
  <c r="I9" i="42" s="1"/>
  <c r="I21" i="42" s="1"/>
  <c r="H12" i="8"/>
  <c r="I9" i="40" s="1"/>
  <c r="P9" i="40" s="1"/>
  <c r="G12" i="8"/>
  <c r="I9" i="39" s="1"/>
  <c r="P9" i="39" s="1"/>
  <c r="F12" i="8"/>
  <c r="I9" i="31" s="1"/>
  <c r="K9" i="31" s="1"/>
  <c r="M9" i="31" s="1"/>
  <c r="E12" i="8"/>
  <c r="I9" i="37" s="1"/>
  <c r="P9" i="37" s="1"/>
  <c r="D12" i="8"/>
  <c r="I9" i="36" s="1"/>
  <c r="P9" i="36" s="1"/>
  <c r="C12" i="8"/>
  <c r="I9" i="29" s="1"/>
  <c r="P9" i="29" s="1"/>
  <c r="R11" i="8"/>
  <c r="O11" i="8"/>
  <c r="N11" i="8"/>
  <c r="E7" i="8"/>
  <c r="K6" i="8"/>
  <c r="J6" i="8"/>
  <c r="I6" i="8"/>
  <c r="H6" i="8"/>
  <c r="G6" i="8"/>
  <c r="I25" i="39" s="1"/>
  <c r="O25" i="39" s="1"/>
  <c r="F6" i="8"/>
  <c r="E6" i="8"/>
  <c r="N29" i="8" s="1"/>
  <c r="D6" i="8"/>
  <c r="I10" i="36" s="1"/>
  <c r="E5" i="8"/>
  <c r="I4" i="8"/>
  <c r="F4" i="8"/>
  <c r="E4" i="8"/>
  <c r="I15" i="37" s="1"/>
  <c r="D4" i="8"/>
  <c r="I15" i="36" s="1"/>
  <c r="P15" i="36" s="1"/>
  <c r="C4" i="8"/>
  <c r="I15" i="29" s="1"/>
  <c r="H17" i="18" s="1"/>
  <c r="I17" i="18" s="1"/>
  <c r="J17" i="18" s="1"/>
  <c r="L17" i="18" s="1"/>
  <c r="E3" i="8"/>
  <c r="D3" i="8"/>
  <c r="R493" i="24"/>
  <c r="Q493" i="24"/>
  <c r="P493" i="24"/>
  <c r="J493" i="24"/>
  <c r="D493" i="24"/>
  <c r="R492" i="24"/>
  <c r="Q492" i="24"/>
  <c r="P492" i="24"/>
  <c r="N492" i="24"/>
  <c r="M492" i="24"/>
  <c r="J492" i="24"/>
  <c r="G492" i="24"/>
  <c r="D492" i="24"/>
  <c r="H492" i="24" s="1"/>
  <c r="R491" i="24"/>
  <c r="Q491" i="24"/>
  <c r="P491" i="24"/>
  <c r="J491" i="24"/>
  <c r="G491" i="24"/>
  <c r="D491" i="24"/>
  <c r="H491" i="24" s="1"/>
  <c r="R490" i="24"/>
  <c r="Q490" i="24"/>
  <c r="P490" i="24"/>
  <c r="J490" i="24"/>
  <c r="G490" i="24"/>
  <c r="D490" i="24"/>
  <c r="H490" i="24" s="1"/>
  <c r="R489" i="24"/>
  <c r="Q489" i="24"/>
  <c r="P489" i="24"/>
  <c r="J489" i="24"/>
  <c r="K489" i="24" s="1"/>
  <c r="D489" i="24"/>
  <c r="R488" i="24"/>
  <c r="Q488" i="24"/>
  <c r="P488" i="24"/>
  <c r="J488" i="24"/>
  <c r="M488" i="24" s="1"/>
  <c r="D488" i="24"/>
  <c r="R487" i="24"/>
  <c r="Q487" i="24"/>
  <c r="P487" i="24"/>
  <c r="M487" i="24"/>
  <c r="K487" i="24"/>
  <c r="O487" i="24" s="1"/>
  <c r="J487" i="24"/>
  <c r="G487" i="24"/>
  <c r="F487" i="24"/>
  <c r="E487" i="24"/>
  <c r="D487" i="24"/>
  <c r="H487" i="24" s="1"/>
  <c r="R486" i="24"/>
  <c r="Q486" i="24"/>
  <c r="P486" i="24"/>
  <c r="J486" i="24"/>
  <c r="D486" i="24"/>
  <c r="R485" i="24"/>
  <c r="Q485" i="24"/>
  <c r="P485" i="24"/>
  <c r="J485" i="24"/>
  <c r="M485" i="24" s="1"/>
  <c r="G485" i="24"/>
  <c r="D485" i="24"/>
  <c r="H485" i="24" s="1"/>
  <c r="R484" i="24"/>
  <c r="Q484" i="24"/>
  <c r="P484" i="24"/>
  <c r="N484" i="24"/>
  <c r="M484" i="24"/>
  <c r="J484" i="24"/>
  <c r="G484" i="24"/>
  <c r="F484" i="24"/>
  <c r="E484" i="24"/>
  <c r="D484" i="24"/>
  <c r="H484" i="24" s="1"/>
  <c r="R483" i="24"/>
  <c r="Q483" i="24"/>
  <c r="P483" i="24"/>
  <c r="J483" i="24"/>
  <c r="G483" i="24"/>
  <c r="F483" i="24"/>
  <c r="E483" i="24"/>
  <c r="D483" i="24"/>
  <c r="H483" i="24" s="1"/>
  <c r="R482" i="24"/>
  <c r="Q482" i="24"/>
  <c r="P482" i="24"/>
  <c r="J482" i="24"/>
  <c r="G482" i="24"/>
  <c r="D482" i="24"/>
  <c r="H482" i="24" s="1"/>
  <c r="R481" i="24"/>
  <c r="Q481" i="24"/>
  <c r="P481" i="24"/>
  <c r="J481" i="24"/>
  <c r="K481" i="24" s="1"/>
  <c r="D481" i="24"/>
  <c r="R480" i="24"/>
  <c r="Q480" i="24"/>
  <c r="P480" i="24"/>
  <c r="J480" i="24"/>
  <c r="M480" i="24" s="1"/>
  <c r="D480" i="24"/>
  <c r="R479" i="24"/>
  <c r="Q479" i="24"/>
  <c r="P479" i="24"/>
  <c r="M479" i="24"/>
  <c r="K479" i="24"/>
  <c r="J479" i="24"/>
  <c r="G479" i="24"/>
  <c r="F479" i="24"/>
  <c r="E479" i="24"/>
  <c r="D479" i="24"/>
  <c r="H479" i="24" s="1"/>
  <c r="R478" i="24"/>
  <c r="Q478" i="24"/>
  <c r="P478" i="24"/>
  <c r="J478" i="24"/>
  <c r="D478" i="24"/>
  <c r="R477" i="24"/>
  <c r="Q477" i="24"/>
  <c r="P477" i="24"/>
  <c r="M477" i="24"/>
  <c r="K477" i="24"/>
  <c r="J477" i="24"/>
  <c r="G477" i="24"/>
  <c r="F477" i="24"/>
  <c r="E477" i="24"/>
  <c r="D477" i="24"/>
  <c r="H477" i="24" s="1"/>
  <c r="R476" i="24"/>
  <c r="Q476" i="24"/>
  <c r="P476" i="24"/>
  <c r="J476" i="24"/>
  <c r="F476" i="24"/>
  <c r="E476" i="24"/>
  <c r="I476" i="24" s="1"/>
  <c r="D476" i="24"/>
  <c r="H476" i="24" s="1"/>
  <c r="R475" i="24"/>
  <c r="Q475" i="24"/>
  <c r="P475" i="24"/>
  <c r="J475" i="24"/>
  <c r="F475" i="24"/>
  <c r="E475" i="24"/>
  <c r="D475" i="24"/>
  <c r="H475" i="24" s="1"/>
  <c r="R474" i="24"/>
  <c r="Q474" i="24"/>
  <c r="P474" i="24"/>
  <c r="J474" i="24"/>
  <c r="G474" i="24"/>
  <c r="F474" i="24"/>
  <c r="E474" i="24"/>
  <c r="I474" i="24" s="1"/>
  <c r="D474" i="24"/>
  <c r="H474" i="24" s="1"/>
  <c r="R473" i="24"/>
  <c r="Q473" i="24"/>
  <c r="P473" i="24"/>
  <c r="J473" i="24"/>
  <c r="K473" i="24" s="1"/>
  <c r="G473" i="24"/>
  <c r="D473" i="24"/>
  <c r="H473" i="24" s="1"/>
  <c r="R472" i="24"/>
  <c r="Q472" i="24"/>
  <c r="P472" i="24"/>
  <c r="J472" i="24"/>
  <c r="M472" i="24" s="1"/>
  <c r="G472" i="24"/>
  <c r="D472" i="24"/>
  <c r="H472" i="24" s="1"/>
  <c r="R471" i="24"/>
  <c r="Q471" i="24"/>
  <c r="P471" i="24"/>
  <c r="M471" i="24"/>
  <c r="K471" i="24"/>
  <c r="O471" i="24" s="1"/>
  <c r="J471" i="24"/>
  <c r="F471" i="24"/>
  <c r="E471" i="24"/>
  <c r="I471" i="24" s="1"/>
  <c r="D471" i="24"/>
  <c r="H471" i="24" s="1"/>
  <c r="R470" i="24"/>
  <c r="Q470" i="24"/>
  <c r="P470" i="24"/>
  <c r="J470" i="24"/>
  <c r="N470" i="24" s="1"/>
  <c r="G470" i="24"/>
  <c r="D470" i="24"/>
  <c r="H470" i="24" s="1"/>
  <c r="R469" i="24"/>
  <c r="Q469" i="24"/>
  <c r="P469" i="24"/>
  <c r="M469" i="24"/>
  <c r="K469" i="24"/>
  <c r="J469" i="24"/>
  <c r="F469" i="24"/>
  <c r="E469" i="24"/>
  <c r="D469" i="24"/>
  <c r="H469" i="24" s="1"/>
  <c r="R468" i="24"/>
  <c r="Q468" i="24"/>
  <c r="P468" i="24"/>
  <c r="J468" i="24"/>
  <c r="N468" i="24" s="1"/>
  <c r="G468" i="24"/>
  <c r="D468" i="24"/>
  <c r="H468" i="24" s="1"/>
  <c r="R467" i="24"/>
  <c r="Q467" i="24"/>
  <c r="P467" i="24"/>
  <c r="J467" i="24"/>
  <c r="G467" i="24"/>
  <c r="D467" i="24"/>
  <c r="H467" i="24" s="1"/>
  <c r="R466" i="24"/>
  <c r="Q466" i="24"/>
  <c r="P466" i="24"/>
  <c r="J466" i="24"/>
  <c r="G466" i="24"/>
  <c r="D466" i="24"/>
  <c r="H466" i="24" s="1"/>
  <c r="R465" i="24"/>
  <c r="Q465" i="24"/>
  <c r="P465" i="24"/>
  <c r="J465" i="24"/>
  <c r="K465" i="24" s="1"/>
  <c r="O465" i="24" s="1"/>
  <c r="D465" i="24"/>
  <c r="R464" i="24"/>
  <c r="Q464" i="24"/>
  <c r="P464" i="24"/>
  <c r="J464" i="24"/>
  <c r="M464" i="24" s="1"/>
  <c r="D464" i="24"/>
  <c r="R463" i="24"/>
  <c r="Q463" i="24"/>
  <c r="P463" i="24"/>
  <c r="M463" i="24"/>
  <c r="K463" i="24"/>
  <c r="J463" i="24"/>
  <c r="G463" i="24"/>
  <c r="F463" i="24"/>
  <c r="E463" i="24"/>
  <c r="D463" i="24"/>
  <c r="H463" i="24" s="1"/>
  <c r="R462" i="24"/>
  <c r="Q462" i="24"/>
  <c r="P462" i="24"/>
  <c r="J462" i="24"/>
  <c r="D462" i="24"/>
  <c r="R461" i="24"/>
  <c r="Q461" i="24"/>
  <c r="P461" i="24"/>
  <c r="M461" i="24"/>
  <c r="K461" i="24"/>
  <c r="J461" i="24"/>
  <c r="G461" i="24"/>
  <c r="F461" i="24"/>
  <c r="E461" i="24"/>
  <c r="D461" i="24"/>
  <c r="H461" i="24" s="1"/>
  <c r="R460" i="24"/>
  <c r="Q460" i="24"/>
  <c r="P460" i="24"/>
  <c r="J460" i="24"/>
  <c r="F460" i="24"/>
  <c r="E460" i="24"/>
  <c r="I460" i="24" s="1"/>
  <c r="D460" i="24"/>
  <c r="H460" i="24" s="1"/>
  <c r="R459" i="24"/>
  <c r="Q459" i="24"/>
  <c r="P459" i="24"/>
  <c r="J459" i="24"/>
  <c r="F459" i="24"/>
  <c r="E459" i="24"/>
  <c r="D459" i="24"/>
  <c r="H459" i="24" s="1"/>
  <c r="R458" i="24"/>
  <c r="Q458" i="24"/>
  <c r="P458" i="24"/>
  <c r="J458" i="24"/>
  <c r="F458" i="24"/>
  <c r="E458" i="24"/>
  <c r="I458" i="24" s="1"/>
  <c r="D458" i="24"/>
  <c r="H458" i="24" s="1"/>
  <c r="R457" i="24"/>
  <c r="Q457" i="24"/>
  <c r="P457" i="24"/>
  <c r="K457" i="24"/>
  <c r="O457" i="24" s="1"/>
  <c r="J457" i="24"/>
  <c r="G457" i="24"/>
  <c r="F457" i="24"/>
  <c r="E457" i="24"/>
  <c r="D457" i="24"/>
  <c r="H457" i="24" s="1"/>
  <c r="R456" i="24"/>
  <c r="Q456" i="24"/>
  <c r="P456" i="24"/>
  <c r="J456" i="24"/>
  <c r="M456" i="24" s="1"/>
  <c r="G456" i="24"/>
  <c r="F456" i="24"/>
  <c r="E456" i="24"/>
  <c r="D456" i="24"/>
  <c r="H456" i="24" s="1"/>
  <c r="R455" i="24"/>
  <c r="Q455" i="24"/>
  <c r="P455" i="24"/>
  <c r="J455" i="24"/>
  <c r="D455" i="24"/>
  <c r="R454" i="24"/>
  <c r="Q454" i="24"/>
  <c r="P454" i="24"/>
  <c r="N454" i="24"/>
  <c r="M454" i="24"/>
  <c r="J454" i="24"/>
  <c r="G454" i="24"/>
  <c r="F454" i="24"/>
  <c r="E454" i="24"/>
  <c r="D454" i="24"/>
  <c r="H454" i="24" s="1"/>
  <c r="R453" i="24"/>
  <c r="Q453" i="24"/>
  <c r="P453" i="24"/>
  <c r="M453" i="24"/>
  <c r="K453" i="24"/>
  <c r="O453" i="24" s="1"/>
  <c r="J453" i="24"/>
  <c r="F453" i="24"/>
  <c r="E453" i="24"/>
  <c r="D453" i="24"/>
  <c r="H453" i="24" s="1"/>
  <c r="R452" i="24"/>
  <c r="Q452" i="24"/>
  <c r="P452" i="24"/>
  <c r="J452" i="24"/>
  <c r="N452" i="24" s="1"/>
  <c r="H452" i="24"/>
  <c r="D452" i="24"/>
  <c r="R451" i="24"/>
  <c r="Q451" i="24"/>
  <c r="P451" i="24"/>
  <c r="J451" i="24"/>
  <c r="D451" i="24"/>
  <c r="R450" i="24"/>
  <c r="Q450" i="24"/>
  <c r="P450" i="24"/>
  <c r="J450" i="24"/>
  <c r="H450" i="24"/>
  <c r="D450" i="24"/>
  <c r="R449" i="24"/>
  <c r="Q449" i="24"/>
  <c r="P449" i="24"/>
  <c r="M449" i="24"/>
  <c r="L449" i="24"/>
  <c r="J449" i="24"/>
  <c r="K449" i="24" s="1"/>
  <c r="D449" i="24"/>
  <c r="R448" i="24"/>
  <c r="Q448" i="24"/>
  <c r="P448" i="24"/>
  <c r="M448" i="24"/>
  <c r="L448" i="24"/>
  <c r="J448" i="24"/>
  <c r="K448" i="24" s="1"/>
  <c r="D448" i="24"/>
  <c r="H448" i="24" s="1"/>
  <c r="R447" i="24"/>
  <c r="Q447" i="24"/>
  <c r="P447" i="24"/>
  <c r="N447" i="24"/>
  <c r="M447" i="24"/>
  <c r="L447" i="24"/>
  <c r="J447" i="24"/>
  <c r="K447" i="24" s="1"/>
  <c r="D447" i="24"/>
  <c r="R446" i="24"/>
  <c r="Q446" i="24"/>
  <c r="P446" i="24"/>
  <c r="N446" i="24"/>
  <c r="M446" i="24"/>
  <c r="L446" i="24"/>
  <c r="J446" i="24"/>
  <c r="K446" i="24" s="1"/>
  <c r="D446" i="24"/>
  <c r="H446" i="24" s="1"/>
  <c r="R445" i="24"/>
  <c r="Q445" i="24"/>
  <c r="P445" i="24"/>
  <c r="N445" i="24"/>
  <c r="J445" i="24"/>
  <c r="K445" i="24" s="1"/>
  <c r="D445" i="24"/>
  <c r="R444" i="24"/>
  <c r="Q444" i="24"/>
  <c r="P444" i="24"/>
  <c r="N444" i="24"/>
  <c r="M444" i="24"/>
  <c r="J444" i="24"/>
  <c r="K444" i="24" s="1"/>
  <c r="D444" i="24"/>
  <c r="H444" i="24" s="1"/>
  <c r="R443" i="24"/>
  <c r="Q443" i="24"/>
  <c r="P443" i="24"/>
  <c r="N443" i="24"/>
  <c r="M443" i="24"/>
  <c r="J443" i="24"/>
  <c r="K443" i="24" s="1"/>
  <c r="O443" i="24" s="1"/>
  <c r="D443" i="24"/>
  <c r="H443" i="24" s="1"/>
  <c r="R442" i="24"/>
  <c r="Q442" i="24"/>
  <c r="P442" i="24"/>
  <c r="N442" i="24"/>
  <c r="M442" i="24"/>
  <c r="J442" i="24"/>
  <c r="K442" i="24" s="1"/>
  <c r="O442" i="24" s="1"/>
  <c r="D442" i="24"/>
  <c r="H442" i="24" s="1"/>
  <c r="R441" i="24"/>
  <c r="Q441" i="24"/>
  <c r="P441" i="24"/>
  <c r="N441" i="24"/>
  <c r="M441" i="24"/>
  <c r="J441" i="24"/>
  <c r="K441" i="24" s="1"/>
  <c r="D441" i="24"/>
  <c r="R440" i="24"/>
  <c r="Q440" i="24"/>
  <c r="P440" i="24"/>
  <c r="J440" i="24"/>
  <c r="H440" i="24"/>
  <c r="D440" i="24"/>
  <c r="R439" i="24"/>
  <c r="Q439" i="24"/>
  <c r="P439" i="24"/>
  <c r="J439" i="24"/>
  <c r="H439" i="24"/>
  <c r="D439" i="24"/>
  <c r="R438" i="24"/>
  <c r="Q438" i="24"/>
  <c r="P438" i="24"/>
  <c r="J438" i="24"/>
  <c r="D438" i="24"/>
  <c r="H438" i="24" s="1"/>
  <c r="R437" i="24"/>
  <c r="Q437" i="24"/>
  <c r="P437" i="24"/>
  <c r="J437" i="24"/>
  <c r="K437" i="24" s="1"/>
  <c r="D437" i="24"/>
  <c r="R436" i="24"/>
  <c r="Q436" i="24"/>
  <c r="P436" i="24"/>
  <c r="N436" i="24"/>
  <c r="M436" i="24"/>
  <c r="J436" i="24"/>
  <c r="K436" i="24" s="1"/>
  <c r="D436" i="24"/>
  <c r="H436" i="24" s="1"/>
  <c r="R435" i="24"/>
  <c r="Q435" i="24"/>
  <c r="P435" i="24"/>
  <c r="N435" i="24"/>
  <c r="M435" i="24"/>
  <c r="J435" i="24"/>
  <c r="K435" i="24" s="1"/>
  <c r="O435" i="24" s="1"/>
  <c r="D435" i="24"/>
  <c r="H435" i="24" s="1"/>
  <c r="R434" i="24"/>
  <c r="Q434" i="24"/>
  <c r="P434" i="24"/>
  <c r="J434" i="24"/>
  <c r="D434" i="24"/>
  <c r="R433" i="24"/>
  <c r="Q433" i="24"/>
  <c r="P433" i="24"/>
  <c r="J433" i="24"/>
  <c r="N433" i="24" s="1"/>
  <c r="H433" i="24"/>
  <c r="E433" i="24"/>
  <c r="D433" i="24"/>
  <c r="R432" i="24"/>
  <c r="Q432" i="24"/>
  <c r="P432" i="24"/>
  <c r="J432" i="24"/>
  <c r="D432" i="24"/>
  <c r="R431" i="24"/>
  <c r="Q431" i="24"/>
  <c r="P431" i="24"/>
  <c r="N431" i="24"/>
  <c r="M431" i="24"/>
  <c r="J431" i="24"/>
  <c r="D431" i="24"/>
  <c r="R430" i="24"/>
  <c r="Q430" i="24"/>
  <c r="P430" i="24"/>
  <c r="J430" i="24"/>
  <c r="D430" i="24"/>
  <c r="R429" i="24"/>
  <c r="Q429" i="24"/>
  <c r="P429" i="24"/>
  <c r="J429" i="24"/>
  <c r="N429" i="24" s="1"/>
  <c r="H429" i="24"/>
  <c r="E429" i="24"/>
  <c r="D429" i="24"/>
  <c r="R428" i="24"/>
  <c r="Q428" i="24"/>
  <c r="P428" i="24"/>
  <c r="J428" i="24"/>
  <c r="D428" i="24"/>
  <c r="R427" i="24"/>
  <c r="Q427" i="24"/>
  <c r="P427" i="24"/>
  <c r="N427" i="24"/>
  <c r="M427" i="24"/>
  <c r="J427" i="24"/>
  <c r="D427" i="24"/>
  <c r="R426" i="24"/>
  <c r="Q426" i="24"/>
  <c r="P426" i="24"/>
  <c r="K426" i="24"/>
  <c r="J426" i="24"/>
  <c r="F426" i="24"/>
  <c r="E426" i="24"/>
  <c r="D426" i="24"/>
  <c r="H426" i="24" s="1"/>
  <c r="R425" i="24"/>
  <c r="Q425" i="24"/>
  <c r="P425" i="24"/>
  <c r="J425" i="24"/>
  <c r="L425" i="24" s="1"/>
  <c r="D425" i="24"/>
  <c r="R424" i="24"/>
  <c r="Q424" i="24"/>
  <c r="P424" i="24"/>
  <c r="K424" i="24"/>
  <c r="O424" i="24" s="1"/>
  <c r="J424" i="24"/>
  <c r="F424" i="24"/>
  <c r="E424" i="24"/>
  <c r="I424" i="24" s="1"/>
  <c r="D424" i="24"/>
  <c r="H424" i="24" s="1"/>
  <c r="R423" i="24"/>
  <c r="Q423" i="24"/>
  <c r="P423" i="24"/>
  <c r="J423" i="24"/>
  <c r="L423" i="24" s="1"/>
  <c r="H423" i="24"/>
  <c r="E423" i="24"/>
  <c r="D423" i="24"/>
  <c r="R422" i="24"/>
  <c r="Q422" i="24"/>
  <c r="P422" i="24"/>
  <c r="J422" i="24"/>
  <c r="D422" i="24"/>
  <c r="E422" i="24" s="1"/>
  <c r="R421" i="24"/>
  <c r="Q421" i="24"/>
  <c r="P421" i="24"/>
  <c r="J421" i="24"/>
  <c r="N421" i="24" s="1"/>
  <c r="H421" i="24"/>
  <c r="E421" i="24"/>
  <c r="D421" i="24"/>
  <c r="R420" i="24"/>
  <c r="Q420" i="24"/>
  <c r="P420" i="24"/>
  <c r="J420" i="24"/>
  <c r="E420" i="24"/>
  <c r="D420" i="24"/>
  <c r="R419" i="24"/>
  <c r="Q419" i="24"/>
  <c r="P419" i="24"/>
  <c r="J419" i="24"/>
  <c r="D419" i="24"/>
  <c r="H419" i="24" s="1"/>
  <c r="R418" i="24"/>
  <c r="Q418" i="24"/>
  <c r="P418" i="24"/>
  <c r="M418" i="24"/>
  <c r="L418" i="24"/>
  <c r="J418" i="24"/>
  <c r="N418" i="24" s="1"/>
  <c r="D418" i="24"/>
  <c r="E418" i="24" s="1"/>
  <c r="R417" i="24"/>
  <c r="Q417" i="24"/>
  <c r="P417" i="24"/>
  <c r="M417" i="24"/>
  <c r="L417" i="24"/>
  <c r="J417" i="24"/>
  <c r="N417" i="24" s="1"/>
  <c r="D417" i="24"/>
  <c r="R416" i="24"/>
  <c r="Q416" i="24"/>
  <c r="P416" i="24"/>
  <c r="M416" i="24"/>
  <c r="L416" i="24"/>
  <c r="J416" i="24"/>
  <c r="N416" i="24" s="1"/>
  <c r="D416" i="24"/>
  <c r="E416" i="24" s="1"/>
  <c r="R415" i="24"/>
  <c r="Q415" i="24"/>
  <c r="P415" i="24"/>
  <c r="M415" i="24"/>
  <c r="L415" i="24"/>
  <c r="J415" i="24"/>
  <c r="N415" i="24" s="1"/>
  <c r="H415" i="24"/>
  <c r="E415" i="24"/>
  <c r="D415" i="24"/>
  <c r="R414" i="24"/>
  <c r="Q414" i="24"/>
  <c r="P414" i="24"/>
  <c r="J414" i="24"/>
  <c r="N414" i="24" s="1"/>
  <c r="D414" i="24"/>
  <c r="R413" i="24"/>
  <c r="Q413" i="24"/>
  <c r="P413" i="24"/>
  <c r="M413" i="24"/>
  <c r="L413" i="24"/>
  <c r="J413" i="24"/>
  <c r="N413" i="24" s="1"/>
  <c r="H413" i="24"/>
  <c r="E413" i="24"/>
  <c r="D413" i="24"/>
  <c r="R412" i="24"/>
  <c r="Q412" i="24"/>
  <c r="P412" i="24"/>
  <c r="J412" i="24"/>
  <c r="N412" i="24" s="1"/>
  <c r="E412" i="24"/>
  <c r="D412" i="24"/>
  <c r="R411" i="24"/>
  <c r="Q411" i="24"/>
  <c r="P411" i="24"/>
  <c r="J411" i="24"/>
  <c r="N411" i="24" s="1"/>
  <c r="H411" i="24"/>
  <c r="E411" i="24"/>
  <c r="D411" i="24"/>
  <c r="R410" i="24"/>
  <c r="Q410" i="24"/>
  <c r="P410" i="24"/>
  <c r="J410" i="24"/>
  <c r="D410" i="24"/>
  <c r="R409" i="24"/>
  <c r="Q409" i="24"/>
  <c r="P409" i="24"/>
  <c r="J409" i="24"/>
  <c r="N409" i="24" s="1"/>
  <c r="H409" i="24"/>
  <c r="E409" i="24"/>
  <c r="D409" i="24"/>
  <c r="R408" i="24"/>
  <c r="Q408" i="24"/>
  <c r="P408" i="24"/>
  <c r="J408" i="24"/>
  <c r="E408" i="24"/>
  <c r="D408" i="24"/>
  <c r="R407" i="24"/>
  <c r="Q407" i="24"/>
  <c r="P407" i="24"/>
  <c r="J407" i="24"/>
  <c r="D407" i="24"/>
  <c r="H407" i="24" s="1"/>
  <c r="R406" i="24"/>
  <c r="Q406" i="24"/>
  <c r="P406" i="24"/>
  <c r="M406" i="24"/>
  <c r="L406" i="24"/>
  <c r="J406" i="24"/>
  <c r="N406" i="24" s="1"/>
  <c r="D406" i="24"/>
  <c r="E406" i="24" s="1"/>
  <c r="R405" i="24"/>
  <c r="Q405" i="24"/>
  <c r="P405" i="24"/>
  <c r="J405" i="24"/>
  <c r="D405" i="24"/>
  <c r="H405" i="24" s="1"/>
  <c r="R404" i="24"/>
  <c r="Q404" i="24"/>
  <c r="P404" i="24"/>
  <c r="M404" i="24"/>
  <c r="L404" i="24"/>
  <c r="J404" i="24"/>
  <c r="N404" i="24" s="1"/>
  <c r="D404" i="24"/>
  <c r="E404" i="24" s="1"/>
  <c r="R403" i="24"/>
  <c r="Q403" i="24"/>
  <c r="P403" i="24"/>
  <c r="M403" i="24"/>
  <c r="L403" i="24"/>
  <c r="J403" i="24"/>
  <c r="N403" i="24" s="1"/>
  <c r="D403" i="24"/>
  <c r="R402" i="24"/>
  <c r="Q402" i="24"/>
  <c r="P402" i="24"/>
  <c r="M402" i="24"/>
  <c r="L402" i="24"/>
  <c r="J402" i="24"/>
  <c r="N402" i="24" s="1"/>
  <c r="D402" i="24"/>
  <c r="E402" i="24" s="1"/>
  <c r="R401" i="24"/>
  <c r="Q401" i="24"/>
  <c r="P401" i="24"/>
  <c r="M401" i="24"/>
  <c r="L401" i="24"/>
  <c r="J401" i="24"/>
  <c r="N401" i="24" s="1"/>
  <c r="H401" i="24"/>
  <c r="E401" i="24"/>
  <c r="D401" i="24"/>
  <c r="R400" i="24"/>
  <c r="Q400" i="24"/>
  <c r="P400" i="24"/>
  <c r="J400" i="24"/>
  <c r="N400" i="24" s="1"/>
  <c r="E400" i="24"/>
  <c r="D400" i="24"/>
  <c r="R399" i="24"/>
  <c r="Q399" i="24"/>
  <c r="P399" i="24"/>
  <c r="J399" i="24"/>
  <c r="N399" i="24" s="1"/>
  <c r="H399" i="24"/>
  <c r="E399" i="24"/>
  <c r="D399" i="24"/>
  <c r="R398" i="24"/>
  <c r="Q398" i="24"/>
  <c r="P398" i="24"/>
  <c r="J398" i="24"/>
  <c r="D398" i="24"/>
  <c r="R397" i="24"/>
  <c r="Q397" i="24"/>
  <c r="P397" i="24"/>
  <c r="J397" i="24"/>
  <c r="N397" i="24" s="1"/>
  <c r="H397" i="24"/>
  <c r="E397" i="24"/>
  <c r="D397" i="24"/>
  <c r="R396" i="24"/>
  <c r="Q396" i="24"/>
  <c r="P396" i="24"/>
  <c r="J396" i="24"/>
  <c r="E396" i="24"/>
  <c r="D396" i="24"/>
  <c r="R395" i="24"/>
  <c r="Q395" i="24"/>
  <c r="P395" i="24"/>
  <c r="J395" i="24"/>
  <c r="D395" i="24"/>
  <c r="H395" i="24" s="1"/>
  <c r="R394" i="24"/>
  <c r="Q394" i="24"/>
  <c r="P394" i="24"/>
  <c r="M394" i="24"/>
  <c r="L394" i="24"/>
  <c r="J394" i="24"/>
  <c r="N394" i="24" s="1"/>
  <c r="D394" i="24"/>
  <c r="R393" i="24"/>
  <c r="Q393" i="24"/>
  <c r="P393" i="24"/>
  <c r="J393" i="24"/>
  <c r="D393" i="24"/>
  <c r="R392" i="24"/>
  <c r="Q392" i="24"/>
  <c r="P392" i="24"/>
  <c r="M392" i="24"/>
  <c r="L392" i="24"/>
  <c r="J392" i="24"/>
  <c r="N392" i="24" s="1"/>
  <c r="D392" i="24"/>
  <c r="E392" i="24" s="1"/>
  <c r="R391" i="24"/>
  <c r="Q391" i="24"/>
  <c r="P391" i="24"/>
  <c r="M391" i="24"/>
  <c r="L391" i="24"/>
  <c r="J391" i="24"/>
  <c r="N391" i="24" s="1"/>
  <c r="D391" i="24"/>
  <c r="R390" i="24"/>
  <c r="Q390" i="24"/>
  <c r="P390" i="24"/>
  <c r="M390" i="24"/>
  <c r="L390" i="24"/>
  <c r="J390" i="24"/>
  <c r="N390" i="24" s="1"/>
  <c r="D390" i="24"/>
  <c r="E390" i="24" s="1"/>
  <c r="R389" i="24"/>
  <c r="Q389" i="24"/>
  <c r="P389" i="24"/>
  <c r="M389" i="24"/>
  <c r="L389" i="24"/>
  <c r="J389" i="24"/>
  <c r="N389" i="24" s="1"/>
  <c r="E389" i="24"/>
  <c r="D389" i="24"/>
  <c r="H389" i="24" s="1"/>
  <c r="R388" i="24"/>
  <c r="Q388" i="24"/>
  <c r="P388" i="24"/>
  <c r="M388" i="24"/>
  <c r="L388" i="24"/>
  <c r="J388" i="24"/>
  <c r="N388" i="24" s="1"/>
  <c r="E388" i="24"/>
  <c r="D388" i="24"/>
  <c r="R387" i="24"/>
  <c r="Q387" i="24"/>
  <c r="P387" i="24"/>
  <c r="M387" i="24"/>
  <c r="L387" i="24"/>
  <c r="J387" i="24"/>
  <c r="N387" i="24" s="1"/>
  <c r="H387" i="24"/>
  <c r="E387" i="24"/>
  <c r="D387" i="24"/>
  <c r="R386" i="24"/>
  <c r="Q386" i="24"/>
  <c r="P386" i="24"/>
  <c r="J386" i="24"/>
  <c r="E386" i="24"/>
  <c r="D386" i="24"/>
  <c r="R385" i="24"/>
  <c r="Q385" i="24"/>
  <c r="P385" i="24"/>
  <c r="J385" i="24"/>
  <c r="H385" i="24"/>
  <c r="E385" i="24"/>
  <c r="D385" i="24"/>
  <c r="R384" i="24"/>
  <c r="Q384" i="24"/>
  <c r="P384" i="24"/>
  <c r="J384" i="24"/>
  <c r="E384" i="24"/>
  <c r="D384" i="24"/>
  <c r="R383" i="24"/>
  <c r="Q383" i="24"/>
  <c r="P383" i="24"/>
  <c r="L383" i="24"/>
  <c r="J383" i="24"/>
  <c r="D383" i="24"/>
  <c r="R382" i="24"/>
  <c r="Q382" i="24"/>
  <c r="P382" i="24"/>
  <c r="M382" i="24"/>
  <c r="L382" i="24"/>
  <c r="J382" i="24"/>
  <c r="N382" i="24" s="1"/>
  <c r="D382" i="24"/>
  <c r="R381" i="24"/>
  <c r="Q381" i="24"/>
  <c r="P381" i="24"/>
  <c r="J381" i="24"/>
  <c r="D381" i="24"/>
  <c r="R380" i="24"/>
  <c r="Q380" i="24"/>
  <c r="P380" i="24"/>
  <c r="M380" i="24"/>
  <c r="L380" i="24"/>
  <c r="J380" i="24"/>
  <c r="N380" i="24" s="1"/>
  <c r="D380" i="24"/>
  <c r="E380" i="24" s="1"/>
  <c r="R379" i="24"/>
  <c r="Q379" i="24"/>
  <c r="P379" i="24"/>
  <c r="M379" i="24"/>
  <c r="L379" i="24"/>
  <c r="J379" i="24"/>
  <c r="N379" i="24" s="1"/>
  <c r="D379" i="24"/>
  <c r="R378" i="24"/>
  <c r="Q378" i="24"/>
  <c r="P378" i="24"/>
  <c r="M378" i="24"/>
  <c r="L378" i="24"/>
  <c r="J378" i="24"/>
  <c r="N378" i="24" s="1"/>
  <c r="D378" i="24"/>
  <c r="R377" i="24"/>
  <c r="Q377" i="24"/>
  <c r="P377" i="24"/>
  <c r="M377" i="24"/>
  <c r="L377" i="24"/>
  <c r="J377" i="24"/>
  <c r="N377" i="24" s="1"/>
  <c r="E377" i="24"/>
  <c r="D377" i="24"/>
  <c r="H377" i="24" s="1"/>
  <c r="R376" i="24"/>
  <c r="Q376" i="24"/>
  <c r="P376" i="24"/>
  <c r="M376" i="24"/>
  <c r="L376" i="24"/>
  <c r="J376" i="24"/>
  <c r="N376" i="24" s="1"/>
  <c r="E376" i="24"/>
  <c r="D376" i="24"/>
  <c r="R375" i="24"/>
  <c r="Q375" i="24"/>
  <c r="P375" i="24"/>
  <c r="M375" i="24"/>
  <c r="L375" i="24"/>
  <c r="J375" i="24"/>
  <c r="N375" i="24" s="1"/>
  <c r="H375" i="24"/>
  <c r="D375" i="24"/>
  <c r="E375" i="24" s="1"/>
  <c r="R374" i="24"/>
  <c r="Q374" i="24"/>
  <c r="P374" i="24"/>
  <c r="M374" i="24"/>
  <c r="J374" i="24"/>
  <c r="D374" i="24"/>
  <c r="E374" i="24" s="1"/>
  <c r="R373" i="24"/>
  <c r="Q373" i="24"/>
  <c r="P373" i="24"/>
  <c r="M373" i="24"/>
  <c r="L373" i="24"/>
  <c r="J373" i="24"/>
  <c r="N373" i="24" s="1"/>
  <c r="E373" i="24"/>
  <c r="D373" i="24"/>
  <c r="H373" i="24" s="1"/>
  <c r="R372" i="24"/>
  <c r="Q372" i="24"/>
  <c r="P372" i="24"/>
  <c r="J372" i="24"/>
  <c r="D372" i="24"/>
  <c r="E372" i="24" s="1"/>
  <c r="R371" i="24"/>
  <c r="Q371" i="24"/>
  <c r="P371" i="24"/>
  <c r="M371" i="24"/>
  <c r="J371" i="24"/>
  <c r="H371" i="24"/>
  <c r="E371" i="24"/>
  <c r="D371" i="24"/>
  <c r="R370" i="24"/>
  <c r="Q370" i="24"/>
  <c r="P370" i="24"/>
  <c r="L370" i="24"/>
  <c r="J370" i="24"/>
  <c r="E370" i="24"/>
  <c r="D370" i="24"/>
  <c r="R369" i="24"/>
  <c r="Q369" i="24"/>
  <c r="P369" i="24"/>
  <c r="J369" i="24"/>
  <c r="D369" i="24"/>
  <c r="R368" i="24"/>
  <c r="Q368" i="24"/>
  <c r="P368" i="24"/>
  <c r="M368" i="24"/>
  <c r="J368" i="24"/>
  <c r="D368" i="24"/>
  <c r="E368" i="24" s="1"/>
  <c r="R367" i="24"/>
  <c r="Q367" i="24"/>
  <c r="P367" i="24"/>
  <c r="M367" i="24"/>
  <c r="L367" i="24"/>
  <c r="J367" i="24"/>
  <c r="N367" i="24" s="1"/>
  <c r="E367" i="24"/>
  <c r="D367" i="24"/>
  <c r="H367" i="24" s="1"/>
  <c r="R366" i="24"/>
  <c r="Q366" i="24"/>
  <c r="P366" i="24"/>
  <c r="M366" i="24"/>
  <c r="L366" i="24"/>
  <c r="J366" i="24"/>
  <c r="N366" i="24" s="1"/>
  <c r="D366" i="24"/>
  <c r="R365" i="24"/>
  <c r="Q365" i="24"/>
  <c r="P365" i="24"/>
  <c r="J365" i="24"/>
  <c r="D365" i="24"/>
  <c r="H365" i="24" s="1"/>
  <c r="R364" i="24"/>
  <c r="Q364" i="24"/>
  <c r="P364" i="24"/>
  <c r="N364" i="24"/>
  <c r="M364" i="24"/>
  <c r="L364" i="24"/>
  <c r="J364" i="24"/>
  <c r="K364" i="24" s="1"/>
  <c r="D364" i="24"/>
  <c r="R363" i="24"/>
  <c r="S363" i="24" s="1"/>
  <c r="Q363" i="24"/>
  <c r="P363" i="24"/>
  <c r="N363" i="24"/>
  <c r="M363" i="24"/>
  <c r="L363" i="24"/>
  <c r="J363" i="24"/>
  <c r="K363" i="24" s="1"/>
  <c r="O363" i="24" s="1"/>
  <c r="D363" i="24"/>
  <c r="H363" i="24" s="1"/>
  <c r="R362" i="24"/>
  <c r="Q362" i="24"/>
  <c r="P362" i="24"/>
  <c r="N362" i="24"/>
  <c r="J362" i="24"/>
  <c r="D362" i="24"/>
  <c r="R361" i="24"/>
  <c r="Q361" i="24"/>
  <c r="P361" i="24"/>
  <c r="M361" i="24"/>
  <c r="J361" i="24"/>
  <c r="N361" i="24" s="1"/>
  <c r="H361" i="24"/>
  <c r="D361" i="24"/>
  <c r="R360" i="24"/>
  <c r="Q360" i="24"/>
  <c r="P360" i="24"/>
  <c r="L360" i="24"/>
  <c r="J360" i="24"/>
  <c r="N360" i="24" s="1"/>
  <c r="D360" i="24"/>
  <c r="R359" i="24"/>
  <c r="Q359" i="24"/>
  <c r="P359" i="24"/>
  <c r="J359" i="24"/>
  <c r="H359" i="24"/>
  <c r="D359" i="24"/>
  <c r="R358" i="24"/>
  <c r="Q358" i="24"/>
  <c r="P358" i="24"/>
  <c r="J358" i="24"/>
  <c r="D358" i="24"/>
  <c r="R357" i="24"/>
  <c r="Q357" i="24"/>
  <c r="P357" i="24"/>
  <c r="M357" i="24"/>
  <c r="L357" i="24"/>
  <c r="J357" i="24"/>
  <c r="D357" i="24"/>
  <c r="H357" i="24" s="1"/>
  <c r="R356" i="24"/>
  <c r="Q356" i="24"/>
  <c r="P356" i="24"/>
  <c r="N356" i="24"/>
  <c r="M356" i="24"/>
  <c r="L356" i="24"/>
  <c r="J356" i="24"/>
  <c r="K356" i="24" s="1"/>
  <c r="O356" i="24" s="1"/>
  <c r="D356" i="24"/>
  <c r="R355" i="24"/>
  <c r="Q355" i="24"/>
  <c r="P355" i="24"/>
  <c r="N355" i="24"/>
  <c r="M355" i="24"/>
  <c r="L355" i="24"/>
  <c r="J355" i="24"/>
  <c r="K355" i="24" s="1"/>
  <c r="O355" i="24" s="1"/>
  <c r="H355" i="24"/>
  <c r="D355" i="24"/>
  <c r="R354" i="24"/>
  <c r="Q354" i="24"/>
  <c r="P354" i="24"/>
  <c r="J354" i="24"/>
  <c r="G354" i="24"/>
  <c r="E354" i="24"/>
  <c r="D354" i="24"/>
  <c r="H354" i="24" s="1"/>
  <c r="R353" i="24"/>
  <c r="Q353" i="24"/>
  <c r="P353" i="24"/>
  <c r="J353" i="24"/>
  <c r="K353" i="24" s="1"/>
  <c r="F353" i="24"/>
  <c r="D353" i="24"/>
  <c r="R352" i="24"/>
  <c r="Q352" i="24"/>
  <c r="P352" i="24"/>
  <c r="J352" i="24"/>
  <c r="K352" i="24" s="1"/>
  <c r="D352" i="24"/>
  <c r="R351" i="24"/>
  <c r="Q351" i="24"/>
  <c r="P351" i="24"/>
  <c r="J351" i="24"/>
  <c r="F351" i="24"/>
  <c r="D351" i="24"/>
  <c r="R350" i="24"/>
  <c r="Q350" i="24"/>
  <c r="P350" i="24"/>
  <c r="J350" i="24"/>
  <c r="D350" i="24"/>
  <c r="R349" i="24"/>
  <c r="Q349" i="24"/>
  <c r="P349" i="24"/>
  <c r="K349" i="24"/>
  <c r="J349" i="24"/>
  <c r="G349" i="24"/>
  <c r="F349" i="24"/>
  <c r="E349" i="24"/>
  <c r="I349" i="24" s="1"/>
  <c r="D349" i="24"/>
  <c r="H349" i="24" s="1"/>
  <c r="R348" i="24"/>
  <c r="Q348" i="24"/>
  <c r="P348" i="24"/>
  <c r="J348" i="24"/>
  <c r="K348" i="24" s="1"/>
  <c r="O348" i="24" s="1"/>
  <c r="G348" i="24"/>
  <c r="F348" i="24"/>
  <c r="E348" i="24"/>
  <c r="I348" i="24" s="1"/>
  <c r="D348" i="24"/>
  <c r="H348" i="24" s="1"/>
  <c r="R347" i="24"/>
  <c r="Q347" i="24"/>
  <c r="P347" i="24"/>
  <c r="J347" i="24"/>
  <c r="G347" i="24"/>
  <c r="F347" i="24"/>
  <c r="E347" i="24"/>
  <c r="I347" i="24" s="1"/>
  <c r="D347" i="24"/>
  <c r="H347" i="24" s="1"/>
  <c r="R346" i="24"/>
  <c r="Q346" i="24"/>
  <c r="P346" i="24"/>
  <c r="J346" i="24"/>
  <c r="G346" i="24"/>
  <c r="F346" i="24"/>
  <c r="E346" i="24"/>
  <c r="I346" i="24" s="1"/>
  <c r="D346" i="24"/>
  <c r="H346" i="24" s="1"/>
  <c r="R345" i="24"/>
  <c r="Q345" i="24"/>
  <c r="P345" i="24"/>
  <c r="J345" i="24"/>
  <c r="K345" i="24" s="1"/>
  <c r="F345" i="24"/>
  <c r="D345" i="24"/>
  <c r="R344" i="24"/>
  <c r="Q344" i="24"/>
  <c r="P344" i="24"/>
  <c r="J344" i="24"/>
  <c r="K344" i="24" s="1"/>
  <c r="D344" i="24"/>
  <c r="R343" i="24"/>
  <c r="Q343" i="24"/>
  <c r="P343" i="24"/>
  <c r="J343" i="24"/>
  <c r="F343" i="24"/>
  <c r="D343" i="24"/>
  <c r="R342" i="24"/>
  <c r="Q342" i="24"/>
  <c r="P342" i="24"/>
  <c r="J342" i="24"/>
  <c r="D342" i="24"/>
  <c r="R341" i="24"/>
  <c r="Q341" i="24"/>
  <c r="P341" i="24"/>
  <c r="K341" i="24"/>
  <c r="O341" i="24" s="1"/>
  <c r="J341" i="24"/>
  <c r="G341" i="24"/>
  <c r="E341" i="24"/>
  <c r="D341" i="24"/>
  <c r="H341" i="24" s="1"/>
  <c r="R340" i="24"/>
  <c r="Q340" i="24"/>
  <c r="P340" i="24"/>
  <c r="J340" i="24"/>
  <c r="K340" i="24" s="1"/>
  <c r="G340" i="24"/>
  <c r="E340" i="24"/>
  <c r="D340" i="24"/>
  <c r="H340" i="24" s="1"/>
  <c r="R339" i="24"/>
  <c r="Q339" i="24"/>
  <c r="P339" i="24"/>
  <c r="J339" i="24"/>
  <c r="G339" i="24"/>
  <c r="E339" i="24"/>
  <c r="D339" i="24"/>
  <c r="H339" i="24" s="1"/>
  <c r="R338" i="24"/>
  <c r="Q338" i="24"/>
  <c r="P338" i="24"/>
  <c r="J338" i="24"/>
  <c r="G338" i="24"/>
  <c r="E338" i="24"/>
  <c r="D338" i="24"/>
  <c r="H338" i="24" s="1"/>
  <c r="R337" i="24"/>
  <c r="Q337" i="24"/>
  <c r="P337" i="24"/>
  <c r="J337" i="24"/>
  <c r="K337" i="24" s="1"/>
  <c r="D337" i="24"/>
  <c r="R336" i="24"/>
  <c r="Q336" i="24"/>
  <c r="P336" i="24"/>
  <c r="J336" i="24"/>
  <c r="K336" i="24" s="1"/>
  <c r="O336" i="24" s="1"/>
  <c r="F336" i="24"/>
  <c r="D336" i="24"/>
  <c r="R335" i="24"/>
  <c r="Q335" i="24"/>
  <c r="P335" i="24"/>
  <c r="J335" i="24"/>
  <c r="D335" i="24"/>
  <c r="R334" i="24"/>
  <c r="Q334" i="24"/>
  <c r="P334" i="24"/>
  <c r="J334" i="24"/>
  <c r="F334" i="24"/>
  <c r="D334" i="24"/>
  <c r="R333" i="24"/>
  <c r="Q333" i="24"/>
  <c r="P333" i="24"/>
  <c r="K333" i="24"/>
  <c r="J333" i="24"/>
  <c r="G333" i="24"/>
  <c r="F333" i="24"/>
  <c r="E333" i="24"/>
  <c r="D333" i="24"/>
  <c r="H333" i="24" s="1"/>
  <c r="R332" i="24"/>
  <c r="Q332" i="24"/>
  <c r="P332" i="24"/>
  <c r="J332" i="24"/>
  <c r="K332" i="24" s="1"/>
  <c r="G332" i="24"/>
  <c r="F332" i="24"/>
  <c r="E332" i="24"/>
  <c r="I332" i="24" s="1"/>
  <c r="D332" i="24"/>
  <c r="H332" i="24" s="1"/>
  <c r="R331" i="24"/>
  <c r="Q331" i="24"/>
  <c r="P331" i="24"/>
  <c r="J331" i="24"/>
  <c r="G331" i="24"/>
  <c r="F331" i="24"/>
  <c r="E331" i="24"/>
  <c r="I331" i="24" s="1"/>
  <c r="D331" i="24"/>
  <c r="H331" i="24" s="1"/>
  <c r="R330" i="24"/>
  <c r="Q330" i="24"/>
  <c r="P330" i="24"/>
  <c r="J330" i="24"/>
  <c r="G330" i="24"/>
  <c r="F330" i="24"/>
  <c r="E330" i="24"/>
  <c r="D330" i="24"/>
  <c r="H330" i="24" s="1"/>
  <c r="R329" i="24"/>
  <c r="Q329" i="24"/>
  <c r="P329" i="24"/>
  <c r="J329" i="24"/>
  <c r="K329" i="24" s="1"/>
  <c r="D329" i="24"/>
  <c r="R328" i="24"/>
  <c r="Q328" i="24"/>
  <c r="P328" i="24"/>
  <c r="J328" i="24"/>
  <c r="K328" i="24" s="1"/>
  <c r="O328" i="24" s="1"/>
  <c r="F328" i="24"/>
  <c r="D328" i="24"/>
  <c r="R327" i="24"/>
  <c r="Q327" i="24"/>
  <c r="P327" i="24"/>
  <c r="J327" i="24"/>
  <c r="D327" i="24"/>
  <c r="R326" i="24"/>
  <c r="Q326" i="24"/>
  <c r="P326" i="24"/>
  <c r="J326" i="24"/>
  <c r="F326" i="24"/>
  <c r="D326" i="24"/>
  <c r="R325" i="24"/>
  <c r="Q325" i="24"/>
  <c r="P325" i="24"/>
  <c r="K325" i="24"/>
  <c r="O325" i="24" s="1"/>
  <c r="J325" i="24"/>
  <c r="G325" i="24"/>
  <c r="E325" i="24"/>
  <c r="D325" i="24"/>
  <c r="H325" i="24" s="1"/>
  <c r="R324" i="24"/>
  <c r="Q324" i="24"/>
  <c r="P324" i="24"/>
  <c r="J324" i="24"/>
  <c r="K324" i="24" s="1"/>
  <c r="G324" i="24"/>
  <c r="E324" i="24"/>
  <c r="D324" i="24"/>
  <c r="H324" i="24" s="1"/>
  <c r="R323" i="24"/>
  <c r="Q323" i="24"/>
  <c r="P323" i="24"/>
  <c r="J323" i="24"/>
  <c r="G323" i="24"/>
  <c r="E323" i="24"/>
  <c r="D323" i="24"/>
  <c r="H323" i="24" s="1"/>
  <c r="R322" i="24"/>
  <c r="Q322" i="24"/>
  <c r="P322" i="24"/>
  <c r="J322" i="24"/>
  <c r="G322" i="24"/>
  <c r="E322" i="24"/>
  <c r="D322" i="24"/>
  <c r="H322" i="24" s="1"/>
  <c r="R321" i="24"/>
  <c r="Q321" i="24"/>
  <c r="P321" i="24"/>
  <c r="J321" i="24"/>
  <c r="K321" i="24" s="1"/>
  <c r="F321" i="24"/>
  <c r="D321" i="24"/>
  <c r="R320" i="24"/>
  <c r="Q320" i="24"/>
  <c r="P320" i="24"/>
  <c r="J320" i="24"/>
  <c r="K320" i="24" s="1"/>
  <c r="D320" i="24"/>
  <c r="R319" i="24"/>
  <c r="Q319" i="24"/>
  <c r="P319" i="24"/>
  <c r="J319" i="24"/>
  <c r="F319" i="24"/>
  <c r="D319" i="24"/>
  <c r="R318" i="24"/>
  <c r="Q318" i="24"/>
  <c r="P318" i="24"/>
  <c r="J318" i="24"/>
  <c r="D318" i="24"/>
  <c r="R317" i="24"/>
  <c r="Q317" i="24"/>
  <c r="P317" i="24"/>
  <c r="K317" i="24"/>
  <c r="J317" i="24"/>
  <c r="G317" i="24"/>
  <c r="F317" i="24"/>
  <c r="E317" i="24"/>
  <c r="I317" i="24" s="1"/>
  <c r="D317" i="24"/>
  <c r="H317" i="24" s="1"/>
  <c r="R316" i="24"/>
  <c r="Q316" i="24"/>
  <c r="P316" i="24"/>
  <c r="J316" i="24"/>
  <c r="K316" i="24" s="1"/>
  <c r="G316" i="24"/>
  <c r="F316" i="24"/>
  <c r="E316" i="24"/>
  <c r="I316" i="24" s="1"/>
  <c r="D316" i="24"/>
  <c r="H316" i="24" s="1"/>
  <c r="R315" i="24"/>
  <c r="Q315" i="24"/>
  <c r="P315" i="24"/>
  <c r="J315" i="24"/>
  <c r="G315" i="24"/>
  <c r="F315" i="24"/>
  <c r="E315" i="24"/>
  <c r="I315" i="24" s="1"/>
  <c r="D315" i="24"/>
  <c r="H315" i="24" s="1"/>
  <c r="R314" i="24"/>
  <c r="Q314" i="24"/>
  <c r="P314" i="24"/>
  <c r="J314" i="24"/>
  <c r="G314" i="24"/>
  <c r="F314" i="24"/>
  <c r="E314" i="24"/>
  <c r="I314" i="24" s="1"/>
  <c r="D314" i="24"/>
  <c r="H314" i="24" s="1"/>
  <c r="R313" i="24"/>
  <c r="Q313" i="24"/>
  <c r="P313" i="24"/>
  <c r="J313" i="24"/>
  <c r="K313" i="24" s="1"/>
  <c r="F313" i="24"/>
  <c r="D313" i="24"/>
  <c r="R312" i="24"/>
  <c r="Q312" i="24"/>
  <c r="P312" i="24"/>
  <c r="J312" i="24"/>
  <c r="K312" i="24" s="1"/>
  <c r="O312" i="24" s="1"/>
  <c r="D312" i="24"/>
  <c r="R311" i="24"/>
  <c r="Q311" i="24"/>
  <c r="P311" i="24"/>
  <c r="J311" i="24"/>
  <c r="F311" i="24"/>
  <c r="D311" i="24"/>
  <c r="R310" i="24"/>
  <c r="Q310" i="24"/>
  <c r="P310" i="24"/>
  <c r="J310" i="24"/>
  <c r="D310" i="24"/>
  <c r="R309" i="24"/>
  <c r="Q309" i="24"/>
  <c r="P309" i="24"/>
  <c r="K309" i="24"/>
  <c r="J309" i="24"/>
  <c r="G309" i="24"/>
  <c r="E309" i="24"/>
  <c r="D309" i="24"/>
  <c r="H309" i="24" s="1"/>
  <c r="R308" i="24"/>
  <c r="Q308" i="24"/>
  <c r="P308" i="24"/>
  <c r="J308" i="24"/>
  <c r="K308" i="24" s="1"/>
  <c r="G308" i="24"/>
  <c r="E308" i="24"/>
  <c r="D308" i="24"/>
  <c r="H308" i="24" s="1"/>
  <c r="R307" i="24"/>
  <c r="Q307" i="24"/>
  <c r="P307" i="24"/>
  <c r="J307" i="24"/>
  <c r="G307" i="24"/>
  <c r="E307" i="24"/>
  <c r="D307" i="24"/>
  <c r="H307" i="24" s="1"/>
  <c r="R306" i="24"/>
  <c r="Q306" i="24"/>
  <c r="P306" i="24"/>
  <c r="J306" i="24"/>
  <c r="G306" i="24"/>
  <c r="E306" i="24"/>
  <c r="D306" i="24"/>
  <c r="H306" i="24" s="1"/>
  <c r="R305" i="24"/>
  <c r="Q305" i="24"/>
  <c r="P305" i="24"/>
  <c r="J305" i="24"/>
  <c r="K305" i="24" s="1"/>
  <c r="O305" i="24" s="1"/>
  <c r="D305" i="24"/>
  <c r="R304" i="24"/>
  <c r="Q304" i="24"/>
  <c r="P304" i="24"/>
  <c r="J304" i="24"/>
  <c r="K304" i="24" s="1"/>
  <c r="O304" i="24" s="1"/>
  <c r="F304" i="24"/>
  <c r="D304" i="24"/>
  <c r="R303" i="24"/>
  <c r="Q303" i="24"/>
  <c r="P303" i="24"/>
  <c r="J303" i="24"/>
  <c r="D303" i="24"/>
  <c r="R302" i="24"/>
  <c r="Q302" i="24"/>
  <c r="P302" i="24"/>
  <c r="J302" i="24"/>
  <c r="F302" i="24"/>
  <c r="D302" i="24"/>
  <c r="R301" i="24"/>
  <c r="Q301" i="24"/>
  <c r="P301" i="24"/>
  <c r="K301" i="24"/>
  <c r="J301" i="24"/>
  <c r="G301" i="24"/>
  <c r="F301" i="24"/>
  <c r="E301" i="24"/>
  <c r="D301" i="24"/>
  <c r="H301" i="24" s="1"/>
  <c r="R300" i="24"/>
  <c r="Q300" i="24"/>
  <c r="P300" i="24"/>
  <c r="J300" i="24"/>
  <c r="K300" i="24" s="1"/>
  <c r="G300" i="24"/>
  <c r="F300" i="24"/>
  <c r="E300" i="24"/>
  <c r="D300" i="24"/>
  <c r="H300" i="24" s="1"/>
  <c r="R299" i="24"/>
  <c r="Q299" i="24"/>
  <c r="P299" i="24"/>
  <c r="J299" i="24"/>
  <c r="G299" i="24"/>
  <c r="F299" i="24"/>
  <c r="E299" i="24"/>
  <c r="I299" i="24" s="1"/>
  <c r="D299" i="24"/>
  <c r="H299" i="24" s="1"/>
  <c r="R298" i="24"/>
  <c r="Q298" i="24"/>
  <c r="P298" i="24"/>
  <c r="J298" i="24"/>
  <c r="G298" i="24"/>
  <c r="F298" i="24"/>
  <c r="E298" i="24"/>
  <c r="D298" i="24"/>
  <c r="H298" i="24" s="1"/>
  <c r="R297" i="24"/>
  <c r="Q297" i="24"/>
  <c r="P297" i="24"/>
  <c r="J297" i="24"/>
  <c r="K297" i="24" s="1"/>
  <c r="O297" i="24" s="1"/>
  <c r="D297" i="24"/>
  <c r="R296" i="24"/>
  <c r="Q296" i="24"/>
  <c r="P296" i="24"/>
  <c r="J296" i="24"/>
  <c r="K296" i="24" s="1"/>
  <c r="O296" i="24" s="1"/>
  <c r="F296" i="24"/>
  <c r="D296" i="24"/>
  <c r="R295" i="24"/>
  <c r="Q295" i="24"/>
  <c r="P295" i="24"/>
  <c r="J295" i="24"/>
  <c r="D295" i="24"/>
  <c r="R294" i="24"/>
  <c r="Q294" i="24"/>
  <c r="P294" i="24"/>
  <c r="J294" i="24"/>
  <c r="F294" i="24"/>
  <c r="D294" i="24"/>
  <c r="R293" i="24"/>
  <c r="Q293" i="24"/>
  <c r="P293" i="24"/>
  <c r="K293" i="24"/>
  <c r="O293" i="24" s="1"/>
  <c r="J293" i="24"/>
  <c r="G293" i="24"/>
  <c r="E293" i="24"/>
  <c r="D293" i="24"/>
  <c r="H293" i="24" s="1"/>
  <c r="R292" i="24"/>
  <c r="Q292" i="24"/>
  <c r="P292" i="24"/>
  <c r="J292" i="24"/>
  <c r="K292" i="24" s="1"/>
  <c r="G292" i="24"/>
  <c r="E292" i="24"/>
  <c r="D292" i="24"/>
  <c r="H292" i="24" s="1"/>
  <c r="R291" i="24"/>
  <c r="Q291" i="24"/>
  <c r="P291" i="24"/>
  <c r="J291" i="24"/>
  <c r="G291" i="24"/>
  <c r="E291" i="24"/>
  <c r="D291" i="24"/>
  <c r="H291" i="24" s="1"/>
  <c r="R290" i="24"/>
  <c r="Q290" i="24"/>
  <c r="P290" i="24"/>
  <c r="J290" i="24"/>
  <c r="G290" i="24"/>
  <c r="E290" i="24"/>
  <c r="D290" i="24"/>
  <c r="H290" i="24" s="1"/>
  <c r="R289" i="24"/>
  <c r="Q289" i="24"/>
  <c r="P289" i="24"/>
  <c r="J289" i="24"/>
  <c r="K289" i="24" s="1"/>
  <c r="F289" i="24"/>
  <c r="D289" i="24"/>
  <c r="R288" i="24"/>
  <c r="Q288" i="24"/>
  <c r="P288" i="24"/>
  <c r="J288" i="24"/>
  <c r="K288" i="24" s="1"/>
  <c r="D288" i="24"/>
  <c r="R287" i="24"/>
  <c r="Q287" i="24"/>
  <c r="P287" i="24"/>
  <c r="J287" i="24"/>
  <c r="F287" i="24"/>
  <c r="D287" i="24"/>
  <c r="R286" i="24"/>
  <c r="Q286" i="24"/>
  <c r="P286" i="24"/>
  <c r="J286" i="24"/>
  <c r="D286" i="24"/>
  <c r="R285" i="24"/>
  <c r="Q285" i="24"/>
  <c r="P285" i="24"/>
  <c r="K285" i="24"/>
  <c r="O285" i="24" s="1"/>
  <c r="J285" i="24"/>
  <c r="G285" i="24"/>
  <c r="F285" i="24"/>
  <c r="E285" i="24"/>
  <c r="I285" i="24" s="1"/>
  <c r="D285" i="24"/>
  <c r="H285" i="24" s="1"/>
  <c r="R284" i="24"/>
  <c r="Q284" i="24"/>
  <c r="P284" i="24"/>
  <c r="J284" i="24"/>
  <c r="K284" i="24" s="1"/>
  <c r="G284" i="24"/>
  <c r="F284" i="24"/>
  <c r="E284" i="24"/>
  <c r="I284" i="24" s="1"/>
  <c r="D284" i="24"/>
  <c r="H284" i="24" s="1"/>
  <c r="R283" i="24"/>
  <c r="Q283" i="24"/>
  <c r="P283" i="24"/>
  <c r="J283" i="24"/>
  <c r="G283" i="24"/>
  <c r="F283" i="24"/>
  <c r="E283" i="24"/>
  <c r="I283" i="24" s="1"/>
  <c r="D283" i="24"/>
  <c r="H283" i="24" s="1"/>
  <c r="R282" i="24"/>
  <c r="Q282" i="24"/>
  <c r="P282" i="24"/>
  <c r="J282" i="24"/>
  <c r="G282" i="24"/>
  <c r="F282" i="24"/>
  <c r="E282" i="24"/>
  <c r="I282" i="24" s="1"/>
  <c r="D282" i="24"/>
  <c r="H282" i="24" s="1"/>
  <c r="R281" i="24"/>
  <c r="Q281" i="24"/>
  <c r="P281" i="24"/>
  <c r="J281" i="24"/>
  <c r="K281" i="24" s="1"/>
  <c r="F281" i="24"/>
  <c r="D281" i="24"/>
  <c r="R280" i="24"/>
  <c r="Q280" i="24"/>
  <c r="P280" i="24"/>
  <c r="J280" i="24"/>
  <c r="K280" i="24" s="1"/>
  <c r="F280" i="24"/>
  <c r="D280" i="24"/>
  <c r="R279" i="24"/>
  <c r="Q279" i="24"/>
  <c r="P279" i="24"/>
  <c r="J279" i="24"/>
  <c r="F279" i="24"/>
  <c r="D279" i="24"/>
  <c r="R278" i="24"/>
  <c r="Q278" i="24"/>
  <c r="P278" i="24"/>
  <c r="J278" i="24"/>
  <c r="F278" i="24"/>
  <c r="D278" i="24"/>
  <c r="R277" i="24"/>
  <c r="Q277" i="24"/>
  <c r="P277" i="24"/>
  <c r="K277" i="24"/>
  <c r="J277" i="24"/>
  <c r="G277" i="24"/>
  <c r="E277" i="24"/>
  <c r="D277" i="24"/>
  <c r="H277" i="24" s="1"/>
  <c r="R276" i="24"/>
  <c r="Q276" i="24"/>
  <c r="P276" i="24"/>
  <c r="J276" i="24"/>
  <c r="K276" i="24" s="1"/>
  <c r="G276" i="24"/>
  <c r="E276" i="24"/>
  <c r="D276" i="24"/>
  <c r="H276" i="24" s="1"/>
  <c r="R275" i="24"/>
  <c r="Q275" i="24"/>
  <c r="P275" i="24"/>
  <c r="J275" i="24"/>
  <c r="G275" i="24"/>
  <c r="E275" i="24"/>
  <c r="D275" i="24"/>
  <c r="H275" i="24" s="1"/>
  <c r="R274" i="24"/>
  <c r="Q274" i="24"/>
  <c r="P274" i="24"/>
  <c r="J274" i="24"/>
  <c r="G274" i="24"/>
  <c r="E274" i="24"/>
  <c r="D274" i="24"/>
  <c r="H274" i="24" s="1"/>
  <c r="R273" i="24"/>
  <c r="Q273" i="24"/>
  <c r="P273" i="24"/>
  <c r="J273" i="24"/>
  <c r="K273" i="24" s="1"/>
  <c r="O273" i="24" s="1"/>
  <c r="D273" i="24"/>
  <c r="R272" i="24"/>
  <c r="Q272" i="24"/>
  <c r="P272" i="24"/>
  <c r="J272" i="24"/>
  <c r="K272" i="24" s="1"/>
  <c r="F272" i="24"/>
  <c r="D272" i="24"/>
  <c r="R271" i="24"/>
  <c r="Q271" i="24"/>
  <c r="P271" i="24"/>
  <c r="J271" i="24"/>
  <c r="D271" i="24"/>
  <c r="R270" i="24"/>
  <c r="Q270" i="24"/>
  <c r="P270" i="24"/>
  <c r="J270" i="24"/>
  <c r="F270" i="24"/>
  <c r="D270" i="24"/>
  <c r="R269" i="24"/>
  <c r="Q269" i="24"/>
  <c r="P269" i="24"/>
  <c r="K269" i="24"/>
  <c r="O269" i="24" s="1"/>
  <c r="J269" i="24"/>
  <c r="G269" i="24"/>
  <c r="F269" i="24"/>
  <c r="E269" i="24"/>
  <c r="I269" i="24" s="1"/>
  <c r="D269" i="24"/>
  <c r="H269" i="24" s="1"/>
  <c r="R268" i="24"/>
  <c r="Q268" i="24"/>
  <c r="P268" i="24"/>
  <c r="J268" i="24"/>
  <c r="K268" i="24" s="1"/>
  <c r="G268" i="24"/>
  <c r="F268" i="24"/>
  <c r="E268" i="24"/>
  <c r="D268" i="24"/>
  <c r="H268" i="24" s="1"/>
  <c r="R267" i="24"/>
  <c r="Q267" i="24"/>
  <c r="P267" i="24"/>
  <c r="J267" i="24"/>
  <c r="G267" i="24"/>
  <c r="F267" i="24"/>
  <c r="E267" i="24"/>
  <c r="D267" i="24"/>
  <c r="H267" i="24" s="1"/>
  <c r="R266" i="24"/>
  <c r="Q266" i="24"/>
  <c r="P266" i="24"/>
  <c r="J266" i="24"/>
  <c r="G266" i="24"/>
  <c r="F266" i="24"/>
  <c r="E266" i="24"/>
  <c r="D266" i="24"/>
  <c r="H266" i="24" s="1"/>
  <c r="R265" i="24"/>
  <c r="Q265" i="24"/>
  <c r="P265" i="24"/>
  <c r="J265" i="24"/>
  <c r="K265" i="24" s="1"/>
  <c r="O265" i="24" s="1"/>
  <c r="D265" i="24"/>
  <c r="R264" i="24"/>
  <c r="Q264" i="24"/>
  <c r="P264" i="24"/>
  <c r="J264" i="24"/>
  <c r="K264" i="24" s="1"/>
  <c r="F264" i="24"/>
  <c r="D264" i="24"/>
  <c r="R263" i="24"/>
  <c r="Q263" i="24"/>
  <c r="P263" i="24"/>
  <c r="J263" i="24"/>
  <c r="D263" i="24"/>
  <c r="R262" i="24"/>
  <c r="Q262" i="24"/>
  <c r="P262" i="24"/>
  <c r="J262" i="24"/>
  <c r="F262" i="24"/>
  <c r="D262" i="24"/>
  <c r="R261" i="24"/>
  <c r="Q261" i="24"/>
  <c r="P261" i="24"/>
  <c r="K261" i="24"/>
  <c r="J261" i="24"/>
  <c r="G261" i="24"/>
  <c r="E261" i="24"/>
  <c r="D261" i="24"/>
  <c r="H261" i="24" s="1"/>
  <c r="R260" i="24"/>
  <c r="Q260" i="24"/>
  <c r="P260" i="24"/>
  <c r="J260" i="24"/>
  <c r="K260" i="24" s="1"/>
  <c r="G260" i="24"/>
  <c r="E260" i="24"/>
  <c r="D260" i="24"/>
  <c r="H260" i="24" s="1"/>
  <c r="R259" i="24"/>
  <c r="Q259" i="24"/>
  <c r="P259" i="24"/>
  <c r="J259" i="24"/>
  <c r="G259" i="24"/>
  <c r="E259" i="24"/>
  <c r="D259" i="24"/>
  <c r="H259" i="24" s="1"/>
  <c r="R258" i="24"/>
  <c r="Q258" i="24"/>
  <c r="P258" i="24"/>
  <c r="J258" i="24"/>
  <c r="G258" i="24"/>
  <c r="E258" i="24"/>
  <c r="D258" i="24"/>
  <c r="H258" i="24" s="1"/>
  <c r="R257" i="24"/>
  <c r="Q257" i="24"/>
  <c r="P257" i="24"/>
  <c r="J257" i="24"/>
  <c r="K257" i="24" s="1"/>
  <c r="F257" i="24"/>
  <c r="D257" i="24"/>
  <c r="R256" i="24"/>
  <c r="Q256" i="24"/>
  <c r="P256" i="24"/>
  <c r="M256" i="24"/>
  <c r="J256" i="24"/>
  <c r="D256" i="24"/>
  <c r="R255" i="24"/>
  <c r="Q255" i="24"/>
  <c r="P255" i="24"/>
  <c r="J255" i="24"/>
  <c r="N255" i="24" s="1"/>
  <c r="G255" i="24"/>
  <c r="E255" i="24"/>
  <c r="D255" i="24"/>
  <c r="H255" i="24" s="1"/>
  <c r="R254" i="24"/>
  <c r="Q254" i="24"/>
  <c r="P254" i="24"/>
  <c r="M254" i="24"/>
  <c r="K254" i="24"/>
  <c r="O254" i="24" s="1"/>
  <c r="J254" i="24"/>
  <c r="L254" i="24" s="1"/>
  <c r="G254" i="24"/>
  <c r="F254" i="24"/>
  <c r="E254" i="24"/>
  <c r="I254" i="24" s="1"/>
  <c r="D254" i="24"/>
  <c r="H254" i="24" s="1"/>
  <c r="R253" i="24"/>
  <c r="Q253" i="24"/>
  <c r="P253" i="24"/>
  <c r="J253" i="24"/>
  <c r="G253" i="24"/>
  <c r="F253" i="24"/>
  <c r="E253" i="24"/>
  <c r="I253" i="24" s="1"/>
  <c r="D253" i="24"/>
  <c r="H253" i="24" s="1"/>
  <c r="R252" i="24"/>
  <c r="Q252" i="24"/>
  <c r="P252" i="24"/>
  <c r="K252" i="24"/>
  <c r="O252" i="24" s="1"/>
  <c r="J252" i="24"/>
  <c r="L252" i="24" s="1"/>
  <c r="G252" i="24"/>
  <c r="E252" i="24"/>
  <c r="D252" i="24"/>
  <c r="H252" i="24" s="1"/>
  <c r="R251" i="24"/>
  <c r="Q251" i="24"/>
  <c r="P251" i="24"/>
  <c r="J251" i="24"/>
  <c r="N251" i="24" s="1"/>
  <c r="F251" i="24"/>
  <c r="D251" i="24"/>
  <c r="R250" i="24"/>
  <c r="Q250" i="24"/>
  <c r="P250" i="24"/>
  <c r="M250" i="24"/>
  <c r="J250" i="24"/>
  <c r="D250" i="24"/>
  <c r="R249" i="24"/>
  <c r="Q249" i="24"/>
  <c r="P249" i="24"/>
  <c r="J249" i="24"/>
  <c r="F249" i="24"/>
  <c r="D249" i="24"/>
  <c r="R248" i="24"/>
  <c r="Q248" i="24"/>
  <c r="P248" i="24"/>
  <c r="M248" i="24"/>
  <c r="J248" i="24"/>
  <c r="D248" i="24"/>
  <c r="R247" i="24"/>
  <c r="Q247" i="24"/>
  <c r="P247" i="24"/>
  <c r="J247" i="24"/>
  <c r="N247" i="24" s="1"/>
  <c r="G247" i="24"/>
  <c r="F247" i="24"/>
  <c r="E247" i="24"/>
  <c r="I247" i="24" s="1"/>
  <c r="D247" i="24"/>
  <c r="H247" i="24" s="1"/>
  <c r="R246" i="24"/>
  <c r="Q246" i="24"/>
  <c r="P246" i="24"/>
  <c r="K246" i="24"/>
  <c r="O246" i="24" s="1"/>
  <c r="J246" i="24"/>
  <c r="L246" i="24" s="1"/>
  <c r="G246" i="24"/>
  <c r="E246" i="24"/>
  <c r="D246" i="24"/>
  <c r="H246" i="24" s="1"/>
  <c r="R245" i="24"/>
  <c r="Q245" i="24"/>
  <c r="P245" i="24"/>
  <c r="J245" i="24"/>
  <c r="G245" i="24"/>
  <c r="E245" i="24"/>
  <c r="D245" i="24"/>
  <c r="H245" i="24" s="1"/>
  <c r="R244" i="24"/>
  <c r="Q244" i="24"/>
  <c r="P244" i="24"/>
  <c r="M244" i="24"/>
  <c r="K244" i="24"/>
  <c r="O244" i="24" s="1"/>
  <c r="J244" i="24"/>
  <c r="L244" i="24" s="1"/>
  <c r="G244" i="24"/>
  <c r="F244" i="24"/>
  <c r="E244" i="24"/>
  <c r="D244" i="24"/>
  <c r="H244" i="24" s="1"/>
  <c r="R243" i="24"/>
  <c r="Q243" i="24"/>
  <c r="P243" i="24"/>
  <c r="J243" i="24"/>
  <c r="N243" i="24" s="1"/>
  <c r="D243" i="24"/>
  <c r="R242" i="24"/>
  <c r="Q242" i="24"/>
  <c r="P242" i="24"/>
  <c r="M242" i="24"/>
  <c r="J242" i="24"/>
  <c r="D242" i="24"/>
  <c r="R241" i="24"/>
  <c r="Q241" i="24"/>
  <c r="P241" i="24"/>
  <c r="J241" i="24"/>
  <c r="F241" i="24"/>
  <c r="D241" i="24"/>
  <c r="R240" i="24"/>
  <c r="Q240" i="24"/>
  <c r="P240" i="24"/>
  <c r="M240" i="24"/>
  <c r="J240" i="24"/>
  <c r="D240" i="24"/>
  <c r="R239" i="24"/>
  <c r="Q239" i="24"/>
  <c r="P239" i="24"/>
  <c r="J239" i="24"/>
  <c r="N239" i="24" s="1"/>
  <c r="G239" i="24"/>
  <c r="E239" i="24"/>
  <c r="D239" i="24"/>
  <c r="H239" i="24" s="1"/>
  <c r="R238" i="24"/>
  <c r="Q238" i="24"/>
  <c r="P238" i="24"/>
  <c r="M238" i="24"/>
  <c r="K238" i="24"/>
  <c r="O238" i="24" s="1"/>
  <c r="J238" i="24"/>
  <c r="L238" i="24" s="1"/>
  <c r="G238" i="24"/>
  <c r="F238" i="24"/>
  <c r="E238" i="24"/>
  <c r="I238" i="24" s="1"/>
  <c r="D238" i="24"/>
  <c r="H238" i="24" s="1"/>
  <c r="R237" i="24"/>
  <c r="Q237" i="24"/>
  <c r="P237" i="24"/>
  <c r="J237" i="24"/>
  <c r="G237" i="24"/>
  <c r="F237" i="24"/>
  <c r="E237" i="24"/>
  <c r="I237" i="24" s="1"/>
  <c r="D237" i="24"/>
  <c r="H237" i="24" s="1"/>
  <c r="R236" i="24"/>
  <c r="Q236" i="24"/>
  <c r="P236" i="24"/>
  <c r="K236" i="24"/>
  <c r="O236" i="24" s="1"/>
  <c r="J236" i="24"/>
  <c r="L236" i="24" s="1"/>
  <c r="G236" i="24"/>
  <c r="E236" i="24"/>
  <c r="D236" i="24"/>
  <c r="H236" i="24" s="1"/>
  <c r="R235" i="24"/>
  <c r="Q235" i="24"/>
  <c r="P235" i="24"/>
  <c r="J235" i="24"/>
  <c r="N235" i="24" s="1"/>
  <c r="F235" i="24"/>
  <c r="D235" i="24"/>
  <c r="R234" i="24"/>
  <c r="Q234" i="24"/>
  <c r="P234" i="24"/>
  <c r="M234" i="24"/>
  <c r="J234" i="24"/>
  <c r="D234" i="24"/>
  <c r="R233" i="24"/>
  <c r="Q233" i="24"/>
  <c r="P233" i="24"/>
  <c r="J233" i="24"/>
  <c r="F233" i="24"/>
  <c r="D233" i="24"/>
  <c r="R232" i="24"/>
  <c r="Q232" i="24"/>
  <c r="P232" i="24"/>
  <c r="M232" i="24"/>
  <c r="J232" i="24"/>
  <c r="F232" i="24"/>
  <c r="D232" i="24"/>
  <c r="R231" i="24"/>
  <c r="Q231" i="24"/>
  <c r="P231" i="24"/>
  <c r="J231" i="24"/>
  <c r="N231" i="24" s="1"/>
  <c r="G231" i="24"/>
  <c r="F231" i="24"/>
  <c r="E231" i="24"/>
  <c r="I231" i="24" s="1"/>
  <c r="D231" i="24"/>
  <c r="H231" i="24" s="1"/>
  <c r="R230" i="24"/>
  <c r="Q230" i="24"/>
  <c r="P230" i="24"/>
  <c r="K230" i="24"/>
  <c r="O230" i="24" s="1"/>
  <c r="J230" i="24"/>
  <c r="L230" i="24" s="1"/>
  <c r="G230" i="24"/>
  <c r="E230" i="24"/>
  <c r="D230" i="24"/>
  <c r="H230" i="24" s="1"/>
  <c r="R229" i="24"/>
  <c r="Q229" i="24"/>
  <c r="P229" i="24"/>
  <c r="J229" i="24"/>
  <c r="G229" i="24"/>
  <c r="E229" i="24"/>
  <c r="D229" i="24"/>
  <c r="H229" i="24" s="1"/>
  <c r="R228" i="24"/>
  <c r="Q228" i="24"/>
  <c r="P228" i="24"/>
  <c r="M228" i="24"/>
  <c r="K228" i="24"/>
  <c r="O228" i="24" s="1"/>
  <c r="J228" i="24"/>
  <c r="L228" i="24" s="1"/>
  <c r="G228" i="24"/>
  <c r="F228" i="24"/>
  <c r="E228" i="24"/>
  <c r="D228" i="24"/>
  <c r="H228" i="24" s="1"/>
  <c r="R227" i="24"/>
  <c r="Q227" i="24"/>
  <c r="P227" i="24"/>
  <c r="J227" i="24"/>
  <c r="N227" i="24" s="1"/>
  <c r="D227" i="24"/>
  <c r="R226" i="24"/>
  <c r="Q226" i="24"/>
  <c r="P226" i="24"/>
  <c r="M226" i="24"/>
  <c r="J226" i="24"/>
  <c r="D226" i="24"/>
  <c r="R225" i="24"/>
  <c r="Q225" i="24"/>
  <c r="P225" i="24"/>
  <c r="J225" i="24"/>
  <c r="F225" i="24"/>
  <c r="D225" i="24"/>
  <c r="R224" i="24"/>
  <c r="Q224" i="24"/>
  <c r="P224" i="24"/>
  <c r="M224" i="24"/>
  <c r="J224" i="24"/>
  <c r="D224" i="24"/>
  <c r="R223" i="24"/>
  <c r="Q223" i="24"/>
  <c r="P223" i="24"/>
  <c r="J223" i="24"/>
  <c r="N223" i="24" s="1"/>
  <c r="D223" i="24"/>
  <c r="E223" i="24" s="1"/>
  <c r="R222" i="24"/>
  <c r="Q222" i="24"/>
  <c r="P222" i="24"/>
  <c r="J222" i="24"/>
  <c r="D222" i="24"/>
  <c r="R221" i="24"/>
  <c r="Q221" i="24"/>
  <c r="P221" i="24"/>
  <c r="M221" i="24"/>
  <c r="K221" i="24"/>
  <c r="J221" i="24"/>
  <c r="D221" i="24"/>
  <c r="R220" i="24"/>
  <c r="Q220" i="24"/>
  <c r="P220" i="24"/>
  <c r="M220" i="24"/>
  <c r="K220" i="24"/>
  <c r="J220" i="24"/>
  <c r="H220" i="24"/>
  <c r="D220" i="24"/>
  <c r="E220" i="24" s="1"/>
  <c r="R219" i="24"/>
  <c r="Q219" i="24"/>
  <c r="P219" i="24"/>
  <c r="L219" i="24"/>
  <c r="K219" i="24"/>
  <c r="O219" i="24" s="1"/>
  <c r="J219" i="24"/>
  <c r="D219" i="24"/>
  <c r="R218" i="24"/>
  <c r="Q218" i="24"/>
  <c r="P218" i="24"/>
  <c r="M218" i="24"/>
  <c r="L218" i="24"/>
  <c r="J218" i="24"/>
  <c r="D218" i="24"/>
  <c r="R217" i="24"/>
  <c r="Q217" i="24"/>
  <c r="P217" i="24"/>
  <c r="J217" i="24"/>
  <c r="D217" i="24"/>
  <c r="H217" i="24" s="1"/>
  <c r="R216" i="24"/>
  <c r="Q216" i="24"/>
  <c r="P216" i="24"/>
  <c r="J216" i="24"/>
  <c r="H216" i="24"/>
  <c r="D216" i="24"/>
  <c r="E216" i="24" s="1"/>
  <c r="R215" i="24"/>
  <c r="Q215" i="24"/>
  <c r="P215" i="24"/>
  <c r="J215" i="24"/>
  <c r="H215" i="24"/>
  <c r="D215" i="24"/>
  <c r="E215" i="24" s="1"/>
  <c r="R214" i="24"/>
  <c r="Q214" i="24"/>
  <c r="P214" i="24"/>
  <c r="M214" i="24"/>
  <c r="L214" i="24"/>
  <c r="K214" i="24"/>
  <c r="O214" i="24" s="1"/>
  <c r="J214" i="24"/>
  <c r="N214" i="24" s="1"/>
  <c r="D214" i="24"/>
  <c r="R213" i="24"/>
  <c r="Q213" i="24"/>
  <c r="P213" i="24"/>
  <c r="M213" i="24"/>
  <c r="L213" i="24"/>
  <c r="K213" i="24"/>
  <c r="O213" i="24" s="1"/>
  <c r="J213" i="24"/>
  <c r="N213" i="24" s="1"/>
  <c r="D213" i="24"/>
  <c r="H213" i="24" s="1"/>
  <c r="R212" i="24"/>
  <c r="Q212" i="24"/>
  <c r="P212" i="24"/>
  <c r="M212" i="24"/>
  <c r="L212" i="24"/>
  <c r="K212" i="24"/>
  <c r="O212" i="24" s="1"/>
  <c r="J212" i="24"/>
  <c r="N212" i="24" s="1"/>
  <c r="H212" i="24"/>
  <c r="D212" i="24"/>
  <c r="E212" i="24" s="1"/>
  <c r="I212" i="24" s="1"/>
  <c r="R211" i="24"/>
  <c r="Q211" i="24"/>
  <c r="P211" i="24"/>
  <c r="M211" i="24"/>
  <c r="K211" i="24"/>
  <c r="J211" i="24"/>
  <c r="D211" i="24"/>
  <c r="R210" i="24"/>
  <c r="Q210" i="24"/>
  <c r="P210" i="24"/>
  <c r="K210" i="24"/>
  <c r="J210" i="24"/>
  <c r="H210" i="24"/>
  <c r="D210" i="24"/>
  <c r="R209" i="24"/>
  <c r="Q209" i="24"/>
  <c r="P209" i="24"/>
  <c r="M209" i="24"/>
  <c r="L209" i="24"/>
  <c r="J209" i="24"/>
  <c r="D209" i="24"/>
  <c r="R208" i="24"/>
  <c r="Q208" i="24"/>
  <c r="P208" i="24"/>
  <c r="J208" i="24"/>
  <c r="H208" i="24"/>
  <c r="G208" i="24"/>
  <c r="D208" i="24"/>
  <c r="F208" i="24" s="1"/>
  <c r="R207" i="24"/>
  <c r="Q207" i="24"/>
  <c r="P207" i="24"/>
  <c r="M207" i="24"/>
  <c r="L207" i="24"/>
  <c r="K207" i="24"/>
  <c r="O207" i="24" s="1"/>
  <c r="J207" i="24"/>
  <c r="N207" i="24" s="1"/>
  <c r="D207" i="24"/>
  <c r="R206" i="24"/>
  <c r="Q206" i="24"/>
  <c r="P206" i="24"/>
  <c r="M206" i="24"/>
  <c r="L206" i="24"/>
  <c r="K206" i="24"/>
  <c r="J206" i="24"/>
  <c r="N206" i="24" s="1"/>
  <c r="H206" i="24"/>
  <c r="G206" i="24"/>
  <c r="D206" i="24"/>
  <c r="F206" i="24" s="1"/>
  <c r="R205" i="24"/>
  <c r="Q205" i="24"/>
  <c r="P205" i="24"/>
  <c r="K205" i="24"/>
  <c r="J205" i="24"/>
  <c r="D205" i="24"/>
  <c r="R204" i="24"/>
  <c r="Q204" i="24"/>
  <c r="P204" i="24"/>
  <c r="J204" i="24"/>
  <c r="D204" i="24"/>
  <c r="R203" i="24"/>
  <c r="Q203" i="24"/>
  <c r="P203" i="24"/>
  <c r="K203" i="24"/>
  <c r="O203" i="24" s="1"/>
  <c r="J203" i="24"/>
  <c r="D203" i="24"/>
  <c r="R202" i="24"/>
  <c r="Q202" i="24"/>
  <c r="P202" i="24"/>
  <c r="J202" i="24"/>
  <c r="H202" i="24"/>
  <c r="D202" i="24"/>
  <c r="R201" i="24"/>
  <c r="Q201" i="24"/>
  <c r="P201" i="24"/>
  <c r="J201" i="24"/>
  <c r="D201" i="24"/>
  <c r="R200" i="24"/>
  <c r="Q200" i="24"/>
  <c r="P200" i="24"/>
  <c r="M200" i="24"/>
  <c r="J200" i="24"/>
  <c r="H200" i="24"/>
  <c r="G200" i="24"/>
  <c r="D200" i="24"/>
  <c r="F200" i="24" s="1"/>
  <c r="R199" i="24"/>
  <c r="Q199" i="24"/>
  <c r="P199" i="24"/>
  <c r="M199" i="24"/>
  <c r="L199" i="24"/>
  <c r="K199" i="24"/>
  <c r="O199" i="24" s="1"/>
  <c r="J199" i="24"/>
  <c r="N199" i="24" s="1"/>
  <c r="D199" i="24"/>
  <c r="R198" i="24"/>
  <c r="Q198" i="24"/>
  <c r="P198" i="24"/>
  <c r="M198" i="24"/>
  <c r="L198" i="24"/>
  <c r="K198" i="24"/>
  <c r="O198" i="24" s="1"/>
  <c r="J198" i="24"/>
  <c r="N198" i="24" s="1"/>
  <c r="G198" i="24"/>
  <c r="D198" i="24"/>
  <c r="R197" i="24"/>
  <c r="Q197" i="24"/>
  <c r="P197" i="24"/>
  <c r="J197" i="24"/>
  <c r="D197" i="24"/>
  <c r="R196" i="24"/>
  <c r="Q196" i="24"/>
  <c r="P196" i="24"/>
  <c r="L196" i="24"/>
  <c r="K196" i="24"/>
  <c r="J196" i="24"/>
  <c r="D196" i="24"/>
  <c r="R195" i="24"/>
  <c r="Q195" i="24"/>
  <c r="P195" i="24"/>
  <c r="J195" i="24"/>
  <c r="D195" i="24"/>
  <c r="R194" i="24"/>
  <c r="Q194" i="24"/>
  <c r="P194" i="24"/>
  <c r="M194" i="24"/>
  <c r="J194" i="24"/>
  <c r="D194" i="24"/>
  <c r="R193" i="24"/>
  <c r="Q193" i="24"/>
  <c r="P193" i="24"/>
  <c r="J193" i="24"/>
  <c r="D193" i="24"/>
  <c r="R192" i="24"/>
  <c r="Q192" i="24"/>
  <c r="P192" i="24"/>
  <c r="M192" i="24"/>
  <c r="J192" i="24"/>
  <c r="H192" i="24"/>
  <c r="G192" i="24"/>
  <c r="D192" i="24"/>
  <c r="F192" i="24" s="1"/>
  <c r="R191" i="24"/>
  <c r="Q191" i="24"/>
  <c r="P191" i="24"/>
  <c r="M191" i="24"/>
  <c r="L191" i="24"/>
  <c r="K191" i="24"/>
  <c r="O191" i="24" s="1"/>
  <c r="J191" i="24"/>
  <c r="N191" i="24" s="1"/>
  <c r="D191" i="24"/>
  <c r="R190" i="24"/>
  <c r="Q190" i="24"/>
  <c r="P190" i="24"/>
  <c r="M190" i="24"/>
  <c r="L190" i="24"/>
  <c r="K190" i="24"/>
  <c r="O190" i="24" s="1"/>
  <c r="J190" i="24"/>
  <c r="N190" i="24" s="1"/>
  <c r="D190" i="24"/>
  <c r="R189" i="24"/>
  <c r="Q189" i="24"/>
  <c r="P189" i="24"/>
  <c r="L189" i="24"/>
  <c r="J189" i="24"/>
  <c r="D189" i="24"/>
  <c r="R188" i="24"/>
  <c r="Q188" i="24"/>
  <c r="P188" i="24"/>
  <c r="L188" i="24"/>
  <c r="K188" i="24"/>
  <c r="J188" i="24"/>
  <c r="D188" i="24"/>
  <c r="R187" i="24"/>
  <c r="Q187" i="24"/>
  <c r="P187" i="24"/>
  <c r="M187" i="24"/>
  <c r="J187" i="24"/>
  <c r="D187" i="24"/>
  <c r="R186" i="24"/>
  <c r="Q186" i="24"/>
  <c r="P186" i="24"/>
  <c r="M186" i="24"/>
  <c r="K186" i="24"/>
  <c r="J186" i="24"/>
  <c r="D186" i="24"/>
  <c r="R185" i="24"/>
  <c r="Q185" i="24"/>
  <c r="P185" i="24"/>
  <c r="M185" i="24"/>
  <c r="J185" i="24"/>
  <c r="D185" i="24"/>
  <c r="R184" i="24"/>
  <c r="Q184" i="24"/>
  <c r="P184" i="24"/>
  <c r="M184" i="24"/>
  <c r="L184" i="24"/>
  <c r="J184" i="24"/>
  <c r="H184" i="24"/>
  <c r="G184" i="24"/>
  <c r="D184" i="24"/>
  <c r="F184" i="24" s="1"/>
  <c r="R183" i="24"/>
  <c r="Q183" i="24"/>
  <c r="P183" i="24"/>
  <c r="M183" i="24"/>
  <c r="L183" i="24"/>
  <c r="K183" i="24"/>
  <c r="O183" i="24" s="1"/>
  <c r="J183" i="24"/>
  <c r="N183" i="24" s="1"/>
  <c r="D183" i="24"/>
  <c r="R182" i="24"/>
  <c r="Q182" i="24"/>
  <c r="P182" i="24"/>
  <c r="M182" i="24"/>
  <c r="L182" i="24"/>
  <c r="K182" i="24"/>
  <c r="O182" i="24" s="1"/>
  <c r="J182" i="24"/>
  <c r="N182" i="24" s="1"/>
  <c r="H182" i="24"/>
  <c r="D182" i="24"/>
  <c r="F182" i="24" s="1"/>
  <c r="R181" i="24"/>
  <c r="Q181" i="24"/>
  <c r="P181" i="24"/>
  <c r="L181" i="24"/>
  <c r="K181" i="24"/>
  <c r="O181" i="24" s="1"/>
  <c r="J181" i="24"/>
  <c r="D181" i="24"/>
  <c r="R180" i="24"/>
  <c r="Q180" i="24"/>
  <c r="P180" i="24"/>
  <c r="J180" i="24"/>
  <c r="D180" i="24"/>
  <c r="R179" i="24"/>
  <c r="Q179" i="24"/>
  <c r="P179" i="24"/>
  <c r="M179" i="24"/>
  <c r="K179" i="24"/>
  <c r="O179" i="24" s="1"/>
  <c r="J179" i="24"/>
  <c r="D179" i="24"/>
  <c r="R178" i="24"/>
  <c r="Q178" i="24"/>
  <c r="P178" i="24"/>
  <c r="J178" i="24"/>
  <c r="D178" i="24"/>
  <c r="R177" i="24"/>
  <c r="Q177" i="24"/>
  <c r="P177" i="24"/>
  <c r="M177" i="24"/>
  <c r="L177" i="24"/>
  <c r="J177" i="24"/>
  <c r="D177" i="24"/>
  <c r="R176" i="24"/>
  <c r="Q176" i="24"/>
  <c r="P176" i="24"/>
  <c r="L176" i="24"/>
  <c r="J176" i="24"/>
  <c r="H176" i="24"/>
  <c r="G176" i="24"/>
  <c r="D176" i="24"/>
  <c r="F176" i="24" s="1"/>
  <c r="R175" i="24"/>
  <c r="Q175" i="24"/>
  <c r="P175" i="24"/>
  <c r="M175" i="24"/>
  <c r="L175" i="24"/>
  <c r="K175" i="24"/>
  <c r="J175" i="24"/>
  <c r="N175" i="24" s="1"/>
  <c r="D175" i="24"/>
  <c r="R174" i="24"/>
  <c r="Q174" i="24"/>
  <c r="P174" i="24"/>
  <c r="M174" i="24"/>
  <c r="L174" i="24"/>
  <c r="K174" i="24"/>
  <c r="O174" i="24" s="1"/>
  <c r="J174" i="24"/>
  <c r="N174" i="24" s="1"/>
  <c r="H174" i="24"/>
  <c r="G174" i="24"/>
  <c r="D174" i="24"/>
  <c r="F174" i="24" s="1"/>
  <c r="R173" i="24"/>
  <c r="Q173" i="24"/>
  <c r="P173" i="24"/>
  <c r="J173" i="24"/>
  <c r="D173" i="24"/>
  <c r="R172" i="24"/>
  <c r="Q172" i="24"/>
  <c r="P172" i="24"/>
  <c r="J172" i="24"/>
  <c r="G172" i="24"/>
  <c r="D172" i="24"/>
  <c r="R171" i="24"/>
  <c r="Q171" i="24"/>
  <c r="P171" i="24"/>
  <c r="J171" i="24"/>
  <c r="D171" i="24"/>
  <c r="R170" i="24"/>
  <c r="Q170" i="24"/>
  <c r="P170" i="24"/>
  <c r="J170" i="24"/>
  <c r="H170" i="24"/>
  <c r="D170" i="24"/>
  <c r="R169" i="24"/>
  <c r="Q169" i="24"/>
  <c r="P169" i="24"/>
  <c r="J169" i="24"/>
  <c r="D169" i="24"/>
  <c r="R168" i="24"/>
  <c r="Q168" i="24"/>
  <c r="P168" i="24"/>
  <c r="J168" i="24"/>
  <c r="H168" i="24"/>
  <c r="G168" i="24"/>
  <c r="D168" i="24"/>
  <c r="F168" i="24" s="1"/>
  <c r="R167" i="24"/>
  <c r="Q167" i="24"/>
  <c r="P167" i="24"/>
  <c r="J167" i="24"/>
  <c r="N167" i="24" s="1"/>
  <c r="G167" i="24"/>
  <c r="F167" i="24"/>
  <c r="D167" i="24"/>
  <c r="H167" i="24" s="1"/>
  <c r="R166" i="24"/>
  <c r="Q166" i="24"/>
  <c r="P166" i="24"/>
  <c r="J166" i="24"/>
  <c r="N166" i="24" s="1"/>
  <c r="G166" i="24"/>
  <c r="F166" i="24"/>
  <c r="D166" i="24"/>
  <c r="H166" i="24" s="1"/>
  <c r="R165" i="24"/>
  <c r="Q165" i="24"/>
  <c r="P165" i="24"/>
  <c r="J165" i="24"/>
  <c r="N165" i="24" s="1"/>
  <c r="D165" i="24"/>
  <c r="R164" i="24"/>
  <c r="Q164" i="24"/>
  <c r="P164" i="24"/>
  <c r="J164" i="24"/>
  <c r="K164" i="24" s="1"/>
  <c r="G164" i="24"/>
  <c r="F164" i="24"/>
  <c r="D164" i="24"/>
  <c r="H164" i="24" s="1"/>
  <c r="R163" i="24"/>
  <c r="Q163" i="24"/>
  <c r="P163" i="24"/>
  <c r="J163" i="24"/>
  <c r="N163" i="24" s="1"/>
  <c r="D163" i="24"/>
  <c r="R162" i="24"/>
  <c r="Q162" i="24"/>
  <c r="P162" i="24"/>
  <c r="J162" i="24"/>
  <c r="K162" i="24" s="1"/>
  <c r="O162" i="24" s="1"/>
  <c r="G162" i="24"/>
  <c r="F162" i="24"/>
  <c r="D162" i="24"/>
  <c r="H162" i="24" s="1"/>
  <c r="R161" i="24"/>
  <c r="Q161" i="24"/>
  <c r="P161" i="24"/>
  <c r="J161" i="24"/>
  <c r="N161" i="24" s="1"/>
  <c r="F161" i="24"/>
  <c r="D161" i="24"/>
  <c r="R160" i="24"/>
  <c r="Q160" i="24"/>
  <c r="P160" i="24"/>
  <c r="J160" i="24"/>
  <c r="N160" i="24" s="1"/>
  <c r="D160" i="24"/>
  <c r="R159" i="24"/>
  <c r="Q159" i="24"/>
  <c r="P159" i="24"/>
  <c r="N159" i="24"/>
  <c r="J159" i="24"/>
  <c r="K159" i="24" s="1"/>
  <c r="D159" i="24"/>
  <c r="R158" i="24"/>
  <c r="Q158" i="24"/>
  <c r="P158" i="24"/>
  <c r="J158" i="24"/>
  <c r="D158" i="24"/>
  <c r="R157" i="24"/>
  <c r="Q157" i="24"/>
  <c r="P157" i="24"/>
  <c r="J157" i="24"/>
  <c r="N157" i="24" s="1"/>
  <c r="G157" i="24"/>
  <c r="F157" i="24"/>
  <c r="D157" i="24"/>
  <c r="H157" i="24" s="1"/>
  <c r="R156" i="24"/>
  <c r="Q156" i="24"/>
  <c r="P156" i="24"/>
  <c r="J156" i="24"/>
  <c r="N156" i="24" s="1"/>
  <c r="G156" i="24"/>
  <c r="D156" i="24"/>
  <c r="R155" i="24"/>
  <c r="Q155" i="24"/>
  <c r="P155" i="24"/>
  <c r="N155" i="24"/>
  <c r="J155" i="24"/>
  <c r="K155" i="24" s="1"/>
  <c r="O155" i="24" s="1"/>
  <c r="D155" i="24"/>
  <c r="R154" i="24"/>
  <c r="Q154" i="24"/>
  <c r="P154" i="24"/>
  <c r="J154" i="24"/>
  <c r="D154" i="24"/>
  <c r="R153" i="24"/>
  <c r="Q153" i="24"/>
  <c r="P153" i="24"/>
  <c r="J153" i="24"/>
  <c r="G153" i="24"/>
  <c r="F153" i="24"/>
  <c r="D153" i="24"/>
  <c r="H153" i="24" s="1"/>
  <c r="R152" i="24"/>
  <c r="Q152" i="24"/>
  <c r="P152" i="24"/>
  <c r="J152" i="24"/>
  <c r="N152" i="24" s="1"/>
  <c r="G152" i="24"/>
  <c r="D152" i="24"/>
  <c r="R151" i="24"/>
  <c r="Q151" i="24"/>
  <c r="P151" i="24"/>
  <c r="N151" i="24"/>
  <c r="J151" i="24"/>
  <c r="K151" i="24" s="1"/>
  <c r="F151" i="24"/>
  <c r="D151" i="24"/>
  <c r="R150" i="24"/>
  <c r="Q150" i="24"/>
  <c r="P150" i="24"/>
  <c r="J150" i="24"/>
  <c r="D150" i="24"/>
  <c r="R149" i="24"/>
  <c r="Q149" i="24"/>
  <c r="P149" i="24"/>
  <c r="J149" i="24"/>
  <c r="G149" i="24"/>
  <c r="F149" i="24"/>
  <c r="D149" i="24"/>
  <c r="H149" i="24" s="1"/>
  <c r="R148" i="24"/>
  <c r="Q148" i="24"/>
  <c r="P148" i="24"/>
  <c r="J148" i="24"/>
  <c r="N148" i="24" s="1"/>
  <c r="D148" i="24"/>
  <c r="R147" i="24"/>
  <c r="Q147" i="24"/>
  <c r="P147" i="24"/>
  <c r="N147" i="24"/>
  <c r="J147" i="24"/>
  <c r="K147" i="24" s="1"/>
  <c r="O147" i="24" s="1"/>
  <c r="F147" i="24"/>
  <c r="D147" i="24"/>
  <c r="R146" i="24"/>
  <c r="Q146" i="24"/>
  <c r="P146" i="24"/>
  <c r="J146" i="24"/>
  <c r="D146" i="24"/>
  <c r="R145" i="24"/>
  <c r="Q145" i="24"/>
  <c r="P145" i="24"/>
  <c r="J145" i="24"/>
  <c r="G145" i="24"/>
  <c r="F145" i="24"/>
  <c r="D145" i="24"/>
  <c r="H145" i="24" s="1"/>
  <c r="R144" i="24"/>
  <c r="Q144" i="24"/>
  <c r="P144" i="24"/>
  <c r="J144" i="24"/>
  <c r="N144" i="24" s="1"/>
  <c r="D144" i="24"/>
  <c r="R143" i="24"/>
  <c r="Q143" i="24"/>
  <c r="P143" i="24"/>
  <c r="N143" i="24"/>
  <c r="J143" i="24"/>
  <c r="K143" i="24" s="1"/>
  <c r="O143" i="24" s="1"/>
  <c r="D143" i="24"/>
  <c r="R142" i="24"/>
  <c r="Q142" i="24"/>
  <c r="P142" i="24"/>
  <c r="J142" i="24"/>
  <c r="D142" i="24"/>
  <c r="R141" i="24"/>
  <c r="Q141" i="24"/>
  <c r="P141" i="24"/>
  <c r="J141" i="24"/>
  <c r="N141" i="24" s="1"/>
  <c r="G141" i="24"/>
  <c r="F141" i="24"/>
  <c r="D141" i="24"/>
  <c r="H141" i="24" s="1"/>
  <c r="R140" i="24"/>
  <c r="Q140" i="24"/>
  <c r="P140" i="24"/>
  <c r="J140" i="24"/>
  <c r="N140" i="24" s="1"/>
  <c r="G140" i="24"/>
  <c r="D140" i="24"/>
  <c r="R139" i="24"/>
  <c r="Q139" i="24"/>
  <c r="P139" i="24"/>
  <c r="N139" i="24"/>
  <c r="J139" i="24"/>
  <c r="K139" i="24" s="1"/>
  <c r="O139" i="24" s="1"/>
  <c r="D139" i="24"/>
  <c r="R138" i="24"/>
  <c r="Q138" i="24"/>
  <c r="P138" i="24"/>
  <c r="J138" i="24"/>
  <c r="D138" i="24"/>
  <c r="R137" i="24"/>
  <c r="Q137" i="24"/>
  <c r="P137" i="24"/>
  <c r="J137" i="24"/>
  <c r="G137" i="24"/>
  <c r="F137" i="24"/>
  <c r="D137" i="24"/>
  <c r="H137" i="24" s="1"/>
  <c r="R136" i="24"/>
  <c r="Q136" i="24"/>
  <c r="P136" i="24"/>
  <c r="J136" i="24"/>
  <c r="F136" i="24"/>
  <c r="D136" i="24"/>
  <c r="R135" i="24"/>
  <c r="Q135" i="24"/>
  <c r="P135" i="24"/>
  <c r="N135" i="24"/>
  <c r="K135" i="24"/>
  <c r="J135" i="24"/>
  <c r="G135" i="24"/>
  <c r="D135" i="24"/>
  <c r="H135" i="24" s="1"/>
  <c r="R134" i="24"/>
  <c r="Q134" i="24"/>
  <c r="P134" i="24"/>
  <c r="J134" i="24"/>
  <c r="D134" i="24"/>
  <c r="R133" i="24"/>
  <c r="Q133" i="24"/>
  <c r="P133" i="24"/>
  <c r="J133" i="24"/>
  <c r="D133" i="24"/>
  <c r="R132" i="24"/>
  <c r="Q132" i="24"/>
  <c r="P132" i="24"/>
  <c r="K132" i="24"/>
  <c r="J132" i="24"/>
  <c r="N132" i="24" s="1"/>
  <c r="D132" i="24"/>
  <c r="R131" i="24"/>
  <c r="Q131" i="24"/>
  <c r="P131" i="24"/>
  <c r="N131" i="24"/>
  <c r="K131" i="24"/>
  <c r="J131" i="24"/>
  <c r="D131" i="24"/>
  <c r="R130" i="24"/>
  <c r="Q130" i="24"/>
  <c r="P130" i="24"/>
  <c r="J130" i="24"/>
  <c r="K130" i="24" s="1"/>
  <c r="F130" i="24"/>
  <c r="D130" i="24"/>
  <c r="R129" i="24"/>
  <c r="Q129" i="24"/>
  <c r="P129" i="24"/>
  <c r="J129" i="24"/>
  <c r="D129" i="24"/>
  <c r="R128" i="24"/>
  <c r="Q128" i="24"/>
  <c r="P128" i="24"/>
  <c r="N128" i="24"/>
  <c r="K128" i="24"/>
  <c r="J128" i="24"/>
  <c r="D128" i="24"/>
  <c r="R127" i="24"/>
  <c r="Q127" i="24"/>
  <c r="P127" i="24"/>
  <c r="N127" i="24"/>
  <c r="K127" i="24"/>
  <c r="J127" i="24"/>
  <c r="D127" i="24"/>
  <c r="R126" i="24"/>
  <c r="Q126" i="24"/>
  <c r="P126" i="24"/>
  <c r="J126" i="24"/>
  <c r="D126" i="24"/>
  <c r="R125" i="24"/>
  <c r="Q125" i="24"/>
  <c r="P125" i="24"/>
  <c r="J125" i="24"/>
  <c r="D125" i="24"/>
  <c r="R124" i="24"/>
  <c r="Q124" i="24"/>
  <c r="P124" i="24"/>
  <c r="N124" i="24"/>
  <c r="J124" i="24"/>
  <c r="K124" i="24" s="1"/>
  <c r="F124" i="24"/>
  <c r="D124" i="24"/>
  <c r="R123" i="24"/>
  <c r="Q123" i="24"/>
  <c r="P123" i="24"/>
  <c r="N123" i="24"/>
  <c r="K123" i="24"/>
  <c r="J123" i="24"/>
  <c r="G123" i="24"/>
  <c r="F123" i="24"/>
  <c r="D123" i="24"/>
  <c r="H123" i="24" s="1"/>
  <c r="R122" i="24"/>
  <c r="Q122" i="24"/>
  <c r="P122" i="24"/>
  <c r="J122" i="24"/>
  <c r="D122" i="24"/>
  <c r="R121" i="24"/>
  <c r="Q121" i="24"/>
  <c r="P121" i="24"/>
  <c r="J121" i="24"/>
  <c r="G121" i="24"/>
  <c r="D121" i="24"/>
  <c r="R120" i="24"/>
  <c r="Q120" i="24"/>
  <c r="P120" i="24"/>
  <c r="N120" i="24"/>
  <c r="K120" i="24"/>
  <c r="O120" i="24" s="1"/>
  <c r="J120" i="24"/>
  <c r="D120" i="24"/>
  <c r="R119" i="24"/>
  <c r="Q119" i="24"/>
  <c r="P119" i="24"/>
  <c r="N119" i="24"/>
  <c r="J119" i="24"/>
  <c r="K119" i="24" s="1"/>
  <c r="O119" i="24" s="1"/>
  <c r="G119" i="24"/>
  <c r="F119" i="24"/>
  <c r="D119" i="24"/>
  <c r="H119" i="24" s="1"/>
  <c r="R118" i="24"/>
  <c r="Q118" i="24"/>
  <c r="P118" i="24"/>
  <c r="J118" i="24"/>
  <c r="G118" i="24"/>
  <c r="D118" i="24"/>
  <c r="H118" i="24" s="1"/>
  <c r="R117" i="24"/>
  <c r="Q117" i="24"/>
  <c r="P117" i="24"/>
  <c r="J117" i="24"/>
  <c r="F117" i="24"/>
  <c r="D117" i="24"/>
  <c r="R116" i="24"/>
  <c r="Q116" i="24"/>
  <c r="P116" i="24"/>
  <c r="O116" i="24"/>
  <c r="J116" i="24"/>
  <c r="K116" i="24" s="1"/>
  <c r="G116" i="24"/>
  <c r="F116" i="24"/>
  <c r="D116" i="24"/>
  <c r="H116" i="24" s="1"/>
  <c r="R115" i="24"/>
  <c r="Q115" i="24"/>
  <c r="P115" i="24"/>
  <c r="J115" i="24"/>
  <c r="N115" i="24" s="1"/>
  <c r="D115" i="24"/>
  <c r="R114" i="24"/>
  <c r="Q114" i="24"/>
  <c r="P114" i="24"/>
  <c r="J114" i="24"/>
  <c r="K114" i="24" s="1"/>
  <c r="O114" i="24" s="1"/>
  <c r="G114" i="24"/>
  <c r="F114" i="24"/>
  <c r="D114" i="24"/>
  <c r="H114" i="24" s="1"/>
  <c r="R113" i="24"/>
  <c r="Q113" i="24"/>
  <c r="P113" i="24"/>
  <c r="J113" i="24"/>
  <c r="G113" i="24"/>
  <c r="D113" i="24"/>
  <c r="H113" i="24" s="1"/>
  <c r="R112" i="24"/>
  <c r="Q112" i="24"/>
  <c r="P112" i="24"/>
  <c r="J112" i="24"/>
  <c r="G112" i="24"/>
  <c r="F112" i="24"/>
  <c r="D112" i="24"/>
  <c r="H112" i="24" s="1"/>
  <c r="R111" i="24"/>
  <c r="Q111" i="24"/>
  <c r="P111" i="24"/>
  <c r="J111" i="24"/>
  <c r="G111" i="24"/>
  <c r="D111" i="24"/>
  <c r="R110" i="24"/>
  <c r="Q110" i="24"/>
  <c r="P110" i="24"/>
  <c r="J110" i="24"/>
  <c r="G110" i="24"/>
  <c r="F110" i="24"/>
  <c r="D110" i="24"/>
  <c r="H110" i="24" s="1"/>
  <c r="R109" i="24"/>
  <c r="Q109" i="24"/>
  <c r="P109" i="24"/>
  <c r="J109" i="24"/>
  <c r="D109" i="24"/>
  <c r="R108" i="24"/>
  <c r="Q108" i="24"/>
  <c r="P108" i="24"/>
  <c r="O108" i="24"/>
  <c r="K108" i="24"/>
  <c r="J108" i="24"/>
  <c r="N108" i="24" s="1"/>
  <c r="D108" i="24"/>
  <c r="R107" i="24"/>
  <c r="Q107" i="24"/>
  <c r="P107" i="24"/>
  <c r="N107" i="24"/>
  <c r="K107" i="24"/>
  <c r="O107" i="24" s="1"/>
  <c r="J107" i="24"/>
  <c r="D107" i="24"/>
  <c r="R106" i="24"/>
  <c r="Q106" i="24"/>
  <c r="P106" i="24"/>
  <c r="J106" i="24"/>
  <c r="G106" i="24"/>
  <c r="D106" i="24"/>
  <c r="R105" i="24"/>
  <c r="Q105" i="24"/>
  <c r="P105" i="24"/>
  <c r="J105" i="24"/>
  <c r="N105" i="24" s="1"/>
  <c r="G105" i="24"/>
  <c r="F105" i="24"/>
  <c r="D105" i="24"/>
  <c r="H105" i="24" s="1"/>
  <c r="R104" i="24"/>
  <c r="Q104" i="24"/>
  <c r="P104" i="24"/>
  <c r="K104" i="24"/>
  <c r="J104" i="24"/>
  <c r="N104" i="24" s="1"/>
  <c r="D104" i="24"/>
  <c r="R103" i="24"/>
  <c r="Q103" i="24"/>
  <c r="P103" i="24"/>
  <c r="N103" i="24"/>
  <c r="K103" i="24"/>
  <c r="J103" i="24"/>
  <c r="D103" i="24"/>
  <c r="R102" i="24"/>
  <c r="Q102" i="24"/>
  <c r="P102" i="24"/>
  <c r="J102" i="24"/>
  <c r="G102" i="24"/>
  <c r="D102" i="24"/>
  <c r="R101" i="24"/>
  <c r="Q101" i="24"/>
  <c r="P101" i="24"/>
  <c r="J101" i="24"/>
  <c r="N101" i="24" s="1"/>
  <c r="G101" i="24"/>
  <c r="F101" i="24"/>
  <c r="D101" i="24"/>
  <c r="H101" i="24" s="1"/>
  <c r="R100" i="24"/>
  <c r="Q100" i="24"/>
  <c r="P100" i="24"/>
  <c r="K100" i="24"/>
  <c r="J100" i="24"/>
  <c r="N100" i="24" s="1"/>
  <c r="D100" i="24"/>
  <c r="R99" i="24"/>
  <c r="Q99" i="24"/>
  <c r="P99" i="24"/>
  <c r="N99" i="24"/>
  <c r="K99" i="24"/>
  <c r="O99" i="24" s="1"/>
  <c r="J99" i="24"/>
  <c r="D99" i="24"/>
  <c r="R98" i="24"/>
  <c r="Q98" i="24"/>
  <c r="P98" i="24"/>
  <c r="J98" i="24"/>
  <c r="G98" i="24"/>
  <c r="D98" i="24"/>
  <c r="R97" i="24"/>
  <c r="Q97" i="24"/>
  <c r="P97" i="24"/>
  <c r="J97" i="24"/>
  <c r="G97" i="24"/>
  <c r="F97" i="24"/>
  <c r="D97" i="24"/>
  <c r="H97" i="24" s="1"/>
  <c r="R96" i="24"/>
  <c r="Q96" i="24"/>
  <c r="P96" i="24"/>
  <c r="K96" i="24"/>
  <c r="J96" i="24"/>
  <c r="N96" i="24" s="1"/>
  <c r="D96" i="24"/>
  <c r="R95" i="24"/>
  <c r="Q95" i="24"/>
  <c r="P95" i="24"/>
  <c r="N95" i="24"/>
  <c r="K95" i="24"/>
  <c r="O95" i="24" s="1"/>
  <c r="J95" i="24"/>
  <c r="D95" i="24"/>
  <c r="R94" i="24"/>
  <c r="Q94" i="24"/>
  <c r="P94" i="24"/>
  <c r="J94" i="24"/>
  <c r="G94" i="24"/>
  <c r="D94" i="24"/>
  <c r="R93" i="24"/>
  <c r="Q93" i="24"/>
  <c r="P93" i="24"/>
  <c r="J93" i="24"/>
  <c r="N93" i="24" s="1"/>
  <c r="G93" i="24"/>
  <c r="F93" i="24"/>
  <c r="D93" i="24"/>
  <c r="H93" i="24" s="1"/>
  <c r="R92" i="24"/>
  <c r="Q92" i="24"/>
  <c r="P92" i="24"/>
  <c r="K92" i="24"/>
  <c r="J92" i="24"/>
  <c r="N92" i="24" s="1"/>
  <c r="D92" i="24"/>
  <c r="R91" i="24"/>
  <c r="Q91" i="24"/>
  <c r="P91" i="24"/>
  <c r="N91" i="24"/>
  <c r="K91" i="24"/>
  <c r="O91" i="24" s="1"/>
  <c r="J91" i="24"/>
  <c r="D91" i="24"/>
  <c r="R90" i="24"/>
  <c r="Q90" i="24"/>
  <c r="P90" i="24"/>
  <c r="J90" i="24"/>
  <c r="K90" i="24" s="1"/>
  <c r="G90" i="24"/>
  <c r="D90" i="24"/>
  <c r="R89" i="24"/>
  <c r="Q89" i="24"/>
  <c r="P89" i="24"/>
  <c r="J89" i="24"/>
  <c r="G89" i="24"/>
  <c r="F89" i="24"/>
  <c r="D89" i="24"/>
  <c r="H89" i="24" s="1"/>
  <c r="R88" i="24"/>
  <c r="Q88" i="24"/>
  <c r="P88" i="24"/>
  <c r="K88" i="24"/>
  <c r="J88" i="24"/>
  <c r="N88" i="24" s="1"/>
  <c r="D88" i="24"/>
  <c r="R87" i="24"/>
  <c r="Q87" i="24"/>
  <c r="P87" i="24"/>
  <c r="N87" i="24"/>
  <c r="K87" i="24"/>
  <c r="J87" i="24"/>
  <c r="D87" i="24"/>
  <c r="R86" i="24"/>
  <c r="Q86" i="24"/>
  <c r="P86" i="24"/>
  <c r="J86" i="24"/>
  <c r="G86" i="24"/>
  <c r="D86" i="24"/>
  <c r="H86" i="24" s="1"/>
  <c r="R85" i="24"/>
  <c r="Q85" i="24"/>
  <c r="P85" i="24"/>
  <c r="J85" i="24"/>
  <c r="G85" i="24"/>
  <c r="F85" i="24"/>
  <c r="D85" i="24"/>
  <c r="H85" i="24" s="1"/>
  <c r="R84" i="24"/>
  <c r="Q84" i="24"/>
  <c r="P84" i="24"/>
  <c r="J84" i="24"/>
  <c r="G84" i="24"/>
  <c r="D84" i="24"/>
  <c r="H84" i="24" s="1"/>
  <c r="R83" i="24"/>
  <c r="Q83" i="24"/>
  <c r="P83" i="24"/>
  <c r="K83" i="24"/>
  <c r="O83" i="24" s="1"/>
  <c r="J83" i="24"/>
  <c r="N83" i="24" s="1"/>
  <c r="D83" i="24"/>
  <c r="R82" i="24"/>
  <c r="Q82" i="24"/>
  <c r="P82" i="24"/>
  <c r="J82" i="24"/>
  <c r="G82" i="24"/>
  <c r="D82" i="24"/>
  <c r="H82" i="24" s="1"/>
  <c r="R81" i="24"/>
  <c r="Q81" i="24"/>
  <c r="P81" i="24"/>
  <c r="J81" i="24"/>
  <c r="N81" i="24" s="1"/>
  <c r="G81" i="24"/>
  <c r="F81" i="24"/>
  <c r="D81" i="24"/>
  <c r="H81" i="24" s="1"/>
  <c r="R80" i="24"/>
  <c r="Q80" i="24"/>
  <c r="P80" i="24"/>
  <c r="J80" i="24"/>
  <c r="N80" i="24" s="1"/>
  <c r="D80" i="24"/>
  <c r="R79" i="24"/>
  <c r="Q79" i="24"/>
  <c r="P79" i="24"/>
  <c r="N79" i="24"/>
  <c r="K79" i="24"/>
  <c r="J79" i="24"/>
  <c r="F79" i="24"/>
  <c r="D79" i="24"/>
  <c r="R78" i="24"/>
  <c r="Q78" i="24"/>
  <c r="P78" i="24"/>
  <c r="J78" i="24"/>
  <c r="D78" i="24"/>
  <c r="R77" i="24"/>
  <c r="Q77" i="24"/>
  <c r="P77" i="24"/>
  <c r="J77" i="24"/>
  <c r="G77" i="24"/>
  <c r="D77" i="24"/>
  <c r="H77" i="24" s="1"/>
  <c r="R76" i="24"/>
  <c r="Q76" i="24"/>
  <c r="P76" i="24"/>
  <c r="K76" i="24"/>
  <c r="J76" i="24"/>
  <c r="N76" i="24" s="1"/>
  <c r="D76" i="24"/>
  <c r="R75" i="24"/>
  <c r="Q75" i="24"/>
  <c r="P75" i="24"/>
  <c r="N75" i="24"/>
  <c r="K75" i="24"/>
  <c r="J75" i="24"/>
  <c r="F75" i="24"/>
  <c r="D75" i="24"/>
  <c r="R74" i="24"/>
  <c r="Q74" i="24"/>
  <c r="P74" i="24"/>
  <c r="J74" i="24"/>
  <c r="D74" i="24"/>
  <c r="R73" i="24"/>
  <c r="Q73" i="24"/>
  <c r="P73" i="24"/>
  <c r="J73" i="24"/>
  <c r="N73" i="24" s="1"/>
  <c r="G73" i="24"/>
  <c r="D73" i="24"/>
  <c r="H73" i="24" s="1"/>
  <c r="R72" i="24"/>
  <c r="Q72" i="24"/>
  <c r="P72" i="24"/>
  <c r="K72" i="24"/>
  <c r="J72" i="24"/>
  <c r="N72" i="24" s="1"/>
  <c r="D72" i="24"/>
  <c r="R71" i="24"/>
  <c r="Q71" i="24"/>
  <c r="P71" i="24"/>
  <c r="N71" i="24"/>
  <c r="K71" i="24"/>
  <c r="O71" i="24" s="1"/>
  <c r="J71" i="24"/>
  <c r="D71" i="24"/>
  <c r="R70" i="24"/>
  <c r="Q70" i="24"/>
  <c r="P70" i="24"/>
  <c r="J70" i="24"/>
  <c r="D70" i="24"/>
  <c r="R69" i="24"/>
  <c r="Q69" i="24"/>
  <c r="P69" i="24"/>
  <c r="J69" i="24"/>
  <c r="N69" i="24" s="1"/>
  <c r="G69" i="24"/>
  <c r="D69" i="24"/>
  <c r="R68" i="24"/>
  <c r="Q68" i="24"/>
  <c r="P68" i="24"/>
  <c r="J68" i="24"/>
  <c r="N68" i="24" s="1"/>
  <c r="F68" i="24"/>
  <c r="D68" i="24"/>
  <c r="R67" i="24"/>
  <c r="Q67" i="24"/>
  <c r="P67" i="24"/>
  <c r="N67" i="24"/>
  <c r="K67" i="24"/>
  <c r="J67" i="24"/>
  <c r="D67" i="24"/>
  <c r="H67" i="24" s="1"/>
  <c r="R66" i="24"/>
  <c r="Q66" i="24"/>
  <c r="P66" i="24"/>
  <c r="J66" i="24"/>
  <c r="F66" i="24"/>
  <c r="D66" i="24"/>
  <c r="R65" i="24"/>
  <c r="Q65" i="24"/>
  <c r="P65" i="24"/>
  <c r="J65" i="24"/>
  <c r="N65" i="24" s="1"/>
  <c r="D65" i="24"/>
  <c r="R64" i="24"/>
  <c r="Q64" i="24"/>
  <c r="P64" i="24"/>
  <c r="O64" i="24"/>
  <c r="N64" i="24"/>
  <c r="K64" i="24"/>
  <c r="J64" i="24"/>
  <c r="G64" i="24"/>
  <c r="F64" i="24"/>
  <c r="D64" i="24"/>
  <c r="H64" i="24" s="1"/>
  <c r="R63" i="24"/>
  <c r="Q63" i="24"/>
  <c r="P63" i="24"/>
  <c r="N63" i="24"/>
  <c r="J63" i="24"/>
  <c r="K63" i="24" s="1"/>
  <c r="G63" i="24"/>
  <c r="F63" i="24"/>
  <c r="D63" i="24"/>
  <c r="H63" i="24" s="1"/>
  <c r="R62" i="24"/>
  <c r="Q62" i="24"/>
  <c r="P62" i="24"/>
  <c r="J62" i="24"/>
  <c r="D62" i="24"/>
  <c r="H62" i="24" s="1"/>
  <c r="R61" i="24"/>
  <c r="Q61" i="24"/>
  <c r="P61" i="24"/>
  <c r="J61" i="24"/>
  <c r="F61" i="24"/>
  <c r="D61" i="24"/>
  <c r="R60" i="24"/>
  <c r="Q60" i="24"/>
  <c r="P60" i="24"/>
  <c r="N60" i="24"/>
  <c r="K60" i="24"/>
  <c r="J60" i="24"/>
  <c r="G60" i="24"/>
  <c r="F60" i="24"/>
  <c r="E60" i="24"/>
  <c r="D60" i="24"/>
  <c r="H60" i="24" s="1"/>
  <c r="R59" i="24"/>
  <c r="Q59" i="24"/>
  <c r="P59" i="24"/>
  <c r="N59" i="24"/>
  <c r="K59" i="24"/>
  <c r="O59" i="24" s="1"/>
  <c r="J59" i="24"/>
  <c r="F59" i="24"/>
  <c r="E59" i="24"/>
  <c r="D59" i="24"/>
  <c r="R58" i="24"/>
  <c r="Q58" i="24"/>
  <c r="P58" i="24"/>
  <c r="N58" i="24"/>
  <c r="J58" i="24"/>
  <c r="K58" i="24" s="1"/>
  <c r="G58" i="24"/>
  <c r="F58" i="24"/>
  <c r="D58" i="24"/>
  <c r="R57" i="24"/>
  <c r="Q57" i="24"/>
  <c r="P57" i="24"/>
  <c r="J57" i="24"/>
  <c r="N57" i="24" s="1"/>
  <c r="F57" i="24"/>
  <c r="E57" i="24"/>
  <c r="D57" i="24"/>
  <c r="R56" i="24"/>
  <c r="Q56" i="24"/>
  <c r="P56" i="24"/>
  <c r="J56" i="24"/>
  <c r="N56" i="24" s="1"/>
  <c r="D56" i="24"/>
  <c r="E56" i="24" s="1"/>
  <c r="R55" i="24"/>
  <c r="Q55" i="24"/>
  <c r="P55" i="24"/>
  <c r="N55" i="24"/>
  <c r="K55" i="24"/>
  <c r="J55" i="24"/>
  <c r="G55" i="24"/>
  <c r="F55" i="24"/>
  <c r="E55" i="24"/>
  <c r="D55" i="24"/>
  <c r="H55" i="24" s="1"/>
  <c r="R54" i="24"/>
  <c r="Q54" i="24"/>
  <c r="P54" i="24"/>
  <c r="J54" i="24"/>
  <c r="N54" i="24" s="1"/>
  <c r="F54" i="24"/>
  <c r="E54" i="24"/>
  <c r="D54" i="24"/>
  <c r="R53" i="24"/>
  <c r="Q53" i="24"/>
  <c r="P53" i="24"/>
  <c r="J53" i="24"/>
  <c r="N53" i="24" s="1"/>
  <c r="D53" i="24"/>
  <c r="R52" i="24"/>
  <c r="Q52" i="24"/>
  <c r="P52" i="24"/>
  <c r="N52" i="24"/>
  <c r="K52" i="24"/>
  <c r="J52" i="24"/>
  <c r="G52" i="24"/>
  <c r="F52" i="24"/>
  <c r="E52" i="24"/>
  <c r="D52" i="24"/>
  <c r="H52" i="24" s="1"/>
  <c r="R51" i="24"/>
  <c r="Q51" i="24"/>
  <c r="P51" i="24"/>
  <c r="K51" i="24"/>
  <c r="J51" i="24"/>
  <c r="N51" i="24" s="1"/>
  <c r="G51" i="24"/>
  <c r="E51" i="24"/>
  <c r="D51" i="24"/>
  <c r="R50" i="24"/>
  <c r="Q50" i="24"/>
  <c r="P50" i="24"/>
  <c r="J50" i="24"/>
  <c r="K50" i="24" s="1"/>
  <c r="O50" i="24" s="1"/>
  <c r="G50" i="24"/>
  <c r="F50" i="24"/>
  <c r="D50" i="24"/>
  <c r="R49" i="24"/>
  <c r="Q49" i="24"/>
  <c r="P49" i="24"/>
  <c r="J49" i="24"/>
  <c r="N49" i="24" s="1"/>
  <c r="D49" i="24"/>
  <c r="R48" i="24"/>
  <c r="Q48" i="24"/>
  <c r="P48" i="24"/>
  <c r="K48" i="24"/>
  <c r="O48" i="24" s="1"/>
  <c r="J48" i="24"/>
  <c r="N48" i="24" s="1"/>
  <c r="D48" i="24"/>
  <c r="R47" i="24"/>
  <c r="Q47" i="24"/>
  <c r="P47" i="24"/>
  <c r="N47" i="24"/>
  <c r="K47" i="24"/>
  <c r="J47" i="24"/>
  <c r="G47" i="24"/>
  <c r="F47" i="24"/>
  <c r="E47" i="24"/>
  <c r="D47" i="24"/>
  <c r="H47" i="24" s="1"/>
  <c r="R46" i="24"/>
  <c r="Q46" i="24"/>
  <c r="P46" i="24"/>
  <c r="J46" i="24"/>
  <c r="N46" i="24" s="1"/>
  <c r="G46" i="24"/>
  <c r="E46" i="24"/>
  <c r="D46" i="24"/>
  <c r="R45" i="24"/>
  <c r="Q45" i="24"/>
  <c r="P45" i="24"/>
  <c r="N45" i="24"/>
  <c r="K45" i="24"/>
  <c r="J45" i="24"/>
  <c r="G45" i="24"/>
  <c r="F45" i="24"/>
  <c r="E45" i="24"/>
  <c r="D45" i="24"/>
  <c r="H45" i="24" s="1"/>
  <c r="R44" i="24"/>
  <c r="Q44" i="24"/>
  <c r="P44" i="24"/>
  <c r="K44" i="24"/>
  <c r="J44" i="24"/>
  <c r="N44" i="24" s="1"/>
  <c r="D44" i="24"/>
  <c r="R43" i="24"/>
  <c r="Q43" i="24"/>
  <c r="P43" i="24"/>
  <c r="O43" i="24"/>
  <c r="N43" i="24"/>
  <c r="J43" i="24"/>
  <c r="K43" i="24" s="1"/>
  <c r="G43" i="24"/>
  <c r="F43" i="24"/>
  <c r="D43" i="24"/>
  <c r="R42" i="24"/>
  <c r="Q42" i="24"/>
  <c r="P42" i="24"/>
  <c r="J42" i="24"/>
  <c r="N42" i="24" s="1"/>
  <c r="F42" i="24"/>
  <c r="E42" i="24"/>
  <c r="D42" i="24"/>
  <c r="R41" i="24"/>
  <c r="Q41" i="24"/>
  <c r="P41" i="24"/>
  <c r="J41" i="24"/>
  <c r="N41" i="24" s="1"/>
  <c r="D41" i="24"/>
  <c r="R40" i="24"/>
  <c r="Q40" i="24"/>
  <c r="P40" i="24"/>
  <c r="O40" i="24"/>
  <c r="N40" i="24"/>
  <c r="J40" i="24"/>
  <c r="K40" i="24" s="1"/>
  <c r="D40" i="24"/>
  <c r="F40" i="24" s="1"/>
  <c r="R39" i="24"/>
  <c r="Q39" i="24"/>
  <c r="P39" i="24"/>
  <c r="N39" i="24"/>
  <c r="K39" i="24"/>
  <c r="J39" i="24"/>
  <c r="F39" i="24"/>
  <c r="E39" i="24"/>
  <c r="D39" i="24"/>
  <c r="R38" i="24"/>
  <c r="Q38" i="24"/>
  <c r="P38" i="24"/>
  <c r="N38" i="24"/>
  <c r="J38" i="24"/>
  <c r="K38" i="24" s="1"/>
  <c r="G38" i="24"/>
  <c r="F38" i="24"/>
  <c r="D38" i="24"/>
  <c r="R37" i="24"/>
  <c r="Q37" i="24"/>
  <c r="P37" i="24"/>
  <c r="J37" i="24"/>
  <c r="N37" i="24" s="1"/>
  <c r="F37" i="24"/>
  <c r="E37" i="24"/>
  <c r="D37" i="24"/>
  <c r="R36" i="24"/>
  <c r="Q36" i="24"/>
  <c r="P36" i="24"/>
  <c r="J36" i="24"/>
  <c r="K36" i="24" s="1"/>
  <c r="G36" i="24"/>
  <c r="F36" i="24"/>
  <c r="D36" i="24"/>
  <c r="R35" i="24"/>
  <c r="Q35" i="24"/>
  <c r="P35" i="24"/>
  <c r="J35" i="24"/>
  <c r="N35" i="24" s="1"/>
  <c r="D35" i="24"/>
  <c r="R34" i="24"/>
  <c r="Q34" i="24"/>
  <c r="P34" i="24"/>
  <c r="J34" i="24"/>
  <c r="K34" i="24" s="1"/>
  <c r="D34" i="24"/>
  <c r="R33" i="24"/>
  <c r="Q33" i="24"/>
  <c r="P33" i="24"/>
  <c r="N33" i="24"/>
  <c r="K33" i="24"/>
  <c r="J33" i="24"/>
  <c r="D33" i="24"/>
  <c r="R32" i="24"/>
  <c r="Q32" i="24"/>
  <c r="P32" i="24"/>
  <c r="N32" i="24"/>
  <c r="J32" i="24"/>
  <c r="K32" i="24" s="1"/>
  <c r="D32" i="24"/>
  <c r="R31" i="24"/>
  <c r="Q31" i="24"/>
  <c r="P31" i="24"/>
  <c r="O31" i="24"/>
  <c r="N31" i="24"/>
  <c r="K31" i="24"/>
  <c r="J31" i="24"/>
  <c r="G31" i="24"/>
  <c r="F31" i="24"/>
  <c r="E31" i="24"/>
  <c r="D31" i="24"/>
  <c r="H31" i="24" s="1"/>
  <c r="R30" i="24"/>
  <c r="Q30" i="24"/>
  <c r="P30" i="24"/>
  <c r="J30" i="24"/>
  <c r="N30" i="24" s="1"/>
  <c r="D30" i="24"/>
  <c r="R29" i="24"/>
  <c r="Q29" i="24"/>
  <c r="P29" i="24"/>
  <c r="N29" i="24"/>
  <c r="K29" i="24"/>
  <c r="J29" i="24"/>
  <c r="G29" i="24"/>
  <c r="F29" i="24"/>
  <c r="E29" i="24"/>
  <c r="D29" i="24"/>
  <c r="H29" i="24" s="1"/>
  <c r="R28" i="24"/>
  <c r="Q28" i="24"/>
  <c r="P28" i="24"/>
  <c r="K28" i="24"/>
  <c r="J28" i="24"/>
  <c r="N28" i="24" s="1"/>
  <c r="G28" i="24"/>
  <c r="E28" i="24"/>
  <c r="D28" i="24"/>
  <c r="R27" i="24"/>
  <c r="Q27" i="24"/>
  <c r="P27" i="24"/>
  <c r="J27" i="24"/>
  <c r="K27" i="24" s="1"/>
  <c r="O27" i="24" s="1"/>
  <c r="G27" i="24"/>
  <c r="F27" i="24"/>
  <c r="D27" i="24"/>
  <c r="R26" i="24"/>
  <c r="Q26" i="24"/>
  <c r="P26" i="24"/>
  <c r="J26" i="24"/>
  <c r="N26" i="24" s="1"/>
  <c r="D26" i="24"/>
  <c r="R25" i="24"/>
  <c r="Q25" i="24"/>
  <c r="P25" i="24"/>
  <c r="J25" i="24"/>
  <c r="K25" i="24" s="1"/>
  <c r="D25" i="24"/>
  <c r="R24" i="24"/>
  <c r="Q24" i="24"/>
  <c r="P24" i="24"/>
  <c r="N24" i="24"/>
  <c r="K24" i="24"/>
  <c r="J24" i="24"/>
  <c r="D24" i="24"/>
  <c r="R23" i="24"/>
  <c r="Q23" i="24"/>
  <c r="P23" i="24"/>
  <c r="O23" i="24"/>
  <c r="K23" i="24"/>
  <c r="J23" i="24"/>
  <c r="N23" i="24" s="1"/>
  <c r="G23" i="24"/>
  <c r="E23" i="24"/>
  <c r="D23" i="24"/>
  <c r="R22" i="24"/>
  <c r="Q22" i="24"/>
  <c r="P22" i="24"/>
  <c r="N22" i="24"/>
  <c r="K22" i="24"/>
  <c r="J22" i="24"/>
  <c r="G22" i="24"/>
  <c r="F22" i="24"/>
  <c r="E22" i="24"/>
  <c r="D22" i="24"/>
  <c r="H22" i="24" s="1"/>
  <c r="R21" i="24"/>
  <c r="Q21" i="24"/>
  <c r="P21" i="24"/>
  <c r="N21" i="24"/>
  <c r="K21" i="24"/>
  <c r="O21" i="24" s="1"/>
  <c r="J21" i="24"/>
  <c r="D21" i="24"/>
  <c r="F21" i="24" s="1"/>
  <c r="R20" i="24"/>
  <c r="Q20" i="24"/>
  <c r="P20" i="24"/>
  <c r="O20" i="24"/>
  <c r="K20" i="24"/>
  <c r="J20" i="24"/>
  <c r="N20" i="24" s="1"/>
  <c r="G20" i="24"/>
  <c r="E20" i="24"/>
  <c r="D20" i="24"/>
  <c r="R19" i="24"/>
  <c r="Q19" i="24"/>
  <c r="P19" i="24"/>
  <c r="N19" i="24"/>
  <c r="K19" i="24"/>
  <c r="J19" i="24"/>
  <c r="G19" i="24"/>
  <c r="F19" i="24"/>
  <c r="E19" i="24"/>
  <c r="D19" i="24"/>
  <c r="H19" i="24" s="1"/>
  <c r="R18" i="24"/>
  <c r="Q18" i="24"/>
  <c r="P18" i="24"/>
  <c r="J18" i="24"/>
  <c r="N18" i="24" s="1"/>
  <c r="D18" i="24"/>
  <c r="R17" i="24"/>
  <c r="Q17" i="24"/>
  <c r="P17" i="24"/>
  <c r="N17" i="24"/>
  <c r="K17" i="24"/>
  <c r="J17" i="24"/>
  <c r="G17" i="24"/>
  <c r="F17" i="24"/>
  <c r="E17" i="24"/>
  <c r="D17" i="24"/>
  <c r="H17" i="24" s="1"/>
  <c r="R16" i="24"/>
  <c r="Q16" i="24"/>
  <c r="P16" i="24"/>
  <c r="K16" i="24"/>
  <c r="J16" i="24"/>
  <c r="N16" i="24" s="1"/>
  <c r="G16" i="24"/>
  <c r="E16" i="24"/>
  <c r="D16" i="24"/>
  <c r="R15" i="24"/>
  <c r="Q15" i="24"/>
  <c r="P15" i="24"/>
  <c r="J15" i="24"/>
  <c r="N15" i="24" s="1"/>
  <c r="G15" i="24"/>
  <c r="D15" i="24"/>
  <c r="H15" i="24" s="1"/>
  <c r="R14" i="24"/>
  <c r="Q14" i="24"/>
  <c r="P14" i="24"/>
  <c r="N14" i="24"/>
  <c r="K14" i="24"/>
  <c r="J14" i="24"/>
  <c r="F14" i="24"/>
  <c r="E14" i="24"/>
  <c r="D14" i="24"/>
  <c r="H14" i="24" s="1"/>
  <c r="R13" i="24"/>
  <c r="Q13" i="24"/>
  <c r="P13" i="24"/>
  <c r="J13" i="24"/>
  <c r="N13" i="24" s="1"/>
  <c r="G13" i="24"/>
  <c r="D13" i="24"/>
  <c r="H13" i="24" s="1"/>
  <c r="R12" i="24"/>
  <c r="Q12" i="24"/>
  <c r="P12" i="24"/>
  <c r="L12" i="24"/>
  <c r="O12" i="24" s="1"/>
  <c r="K12" i="24"/>
  <c r="J12" i="24"/>
  <c r="M12" i="24" s="1"/>
  <c r="H12" i="24"/>
  <c r="G12" i="24"/>
  <c r="D12" i="24"/>
  <c r="R11" i="24"/>
  <c r="Q11" i="24"/>
  <c r="P11" i="24"/>
  <c r="J11" i="24"/>
  <c r="M11" i="24" s="1"/>
  <c r="H11" i="24"/>
  <c r="G11" i="24"/>
  <c r="D11" i="24"/>
  <c r="R10" i="24"/>
  <c r="Q10" i="24"/>
  <c r="P10" i="24"/>
  <c r="J10" i="24"/>
  <c r="M10" i="24" s="1"/>
  <c r="D10" i="24"/>
  <c r="R9" i="24"/>
  <c r="Q9" i="24"/>
  <c r="P9" i="24"/>
  <c r="J9" i="24"/>
  <c r="M9" i="24" s="1"/>
  <c r="D9" i="24"/>
  <c r="R8" i="24"/>
  <c r="Q8" i="24"/>
  <c r="P8" i="24"/>
  <c r="J8" i="24"/>
  <c r="M8" i="24" s="1"/>
  <c r="H8" i="24"/>
  <c r="G8" i="24"/>
  <c r="D8" i="24"/>
  <c r="R7" i="24"/>
  <c r="Q7" i="24"/>
  <c r="P7" i="24"/>
  <c r="L7" i="24"/>
  <c r="K7" i="24"/>
  <c r="O7" i="24" s="1"/>
  <c r="J7" i="24"/>
  <c r="M7" i="24" s="1"/>
  <c r="D7" i="24"/>
  <c r="H7" i="24" s="1"/>
  <c r="R6" i="24"/>
  <c r="Q6" i="24"/>
  <c r="P6" i="24"/>
  <c r="L6" i="24"/>
  <c r="K6" i="24"/>
  <c r="O6" i="24" s="1"/>
  <c r="J6" i="24"/>
  <c r="M6" i="24" s="1"/>
  <c r="D6" i="24"/>
  <c r="AA5" i="24"/>
  <c r="R5" i="24"/>
  <c r="Q5" i="24"/>
  <c r="P5" i="24"/>
  <c r="N5" i="24"/>
  <c r="K5" i="24"/>
  <c r="J5" i="24"/>
  <c r="G5" i="24"/>
  <c r="F5" i="24"/>
  <c r="E5" i="24"/>
  <c r="D5" i="24"/>
  <c r="H5" i="24" s="1"/>
  <c r="R4" i="24"/>
  <c r="Q4" i="24"/>
  <c r="P4" i="24"/>
  <c r="L4" i="24"/>
  <c r="K4" i="24"/>
  <c r="O4" i="24" s="1"/>
  <c r="J4" i="24"/>
  <c r="M4" i="24" s="1"/>
  <c r="D4" i="24"/>
  <c r="H4" i="24" s="1"/>
  <c r="R3" i="24"/>
  <c r="Q3" i="24"/>
  <c r="P3" i="24"/>
  <c r="M3" i="24"/>
  <c r="J3" i="24"/>
  <c r="N3" i="24" s="1"/>
  <c r="H3" i="24"/>
  <c r="E3" i="24"/>
  <c r="D3" i="24"/>
  <c r="E27" i="5"/>
  <c r="E26" i="5"/>
  <c r="B4" i="5" s="1"/>
  <c r="B14" i="5"/>
  <c r="C23" i="5" s="1"/>
  <c r="F13" i="5"/>
  <c r="B13" i="5"/>
  <c r="B23" i="5" s="1"/>
  <c r="B7" i="5"/>
  <c r="D6" i="5"/>
  <c r="B6" i="5"/>
  <c r="F4" i="5"/>
  <c r="H4" i="5" s="1"/>
  <c r="F2" i="5"/>
  <c r="G2" i="5" s="1"/>
  <c r="D2" i="5"/>
  <c r="K11" i="4"/>
  <c r="K10" i="4"/>
  <c r="M9" i="4"/>
  <c r="K9" i="4"/>
  <c r="E9" i="4"/>
  <c r="M8" i="4"/>
  <c r="M10" i="4" s="1"/>
  <c r="K8" i="4"/>
  <c r="E8" i="4"/>
  <c r="F17" i="1"/>
  <c r="F16" i="1"/>
  <c r="N16" i="41" l="1"/>
  <c r="N19" i="40"/>
  <c r="N20" i="37"/>
  <c r="N19" i="37"/>
  <c r="H44" i="24"/>
  <c r="F44" i="24"/>
  <c r="H48" i="24"/>
  <c r="F48" i="24"/>
  <c r="H70" i="24"/>
  <c r="G70" i="24"/>
  <c r="F70" i="24"/>
  <c r="H134" i="24"/>
  <c r="G134" i="24"/>
  <c r="N136" i="24"/>
  <c r="K136" i="24"/>
  <c r="O136" i="24" s="1"/>
  <c r="H139" i="24"/>
  <c r="G139" i="24"/>
  <c r="H144" i="24"/>
  <c r="F144" i="24"/>
  <c r="H155" i="24"/>
  <c r="G155" i="24"/>
  <c r="H160" i="24"/>
  <c r="F160" i="24"/>
  <c r="N168" i="24"/>
  <c r="K168" i="24"/>
  <c r="O168" i="24" s="1"/>
  <c r="M168" i="24"/>
  <c r="L168" i="24"/>
  <c r="N170" i="24"/>
  <c r="L170" i="24"/>
  <c r="M170" i="24"/>
  <c r="K170" i="24"/>
  <c r="O170" i="24" s="1"/>
  <c r="N172" i="24"/>
  <c r="M172" i="24"/>
  <c r="L172" i="24"/>
  <c r="K172" i="24"/>
  <c r="O172" i="24" s="1"/>
  <c r="N178" i="24"/>
  <c r="L178" i="24"/>
  <c r="M178" i="24"/>
  <c r="F188" i="24"/>
  <c r="H188" i="24"/>
  <c r="G188" i="24"/>
  <c r="F194" i="24"/>
  <c r="G194" i="24"/>
  <c r="N195" i="24"/>
  <c r="L195" i="24"/>
  <c r="M195" i="24"/>
  <c r="K195" i="24"/>
  <c r="N201" i="24"/>
  <c r="K201" i="24"/>
  <c r="O201" i="24" s="1"/>
  <c r="M201" i="24"/>
  <c r="L201" i="24"/>
  <c r="H234" i="24"/>
  <c r="G234" i="24"/>
  <c r="E234" i="24"/>
  <c r="F234" i="24"/>
  <c r="H310" i="24"/>
  <c r="G310" i="24"/>
  <c r="E310" i="24"/>
  <c r="H312" i="24"/>
  <c r="G312" i="24"/>
  <c r="E312" i="24"/>
  <c r="H320" i="24"/>
  <c r="E320" i="24"/>
  <c r="I320" i="24" s="1"/>
  <c r="G320" i="24"/>
  <c r="F320" i="24"/>
  <c r="L20" i="35"/>
  <c r="M20" i="35" s="1"/>
  <c r="K20" i="35"/>
  <c r="S21" i="24"/>
  <c r="H32" i="24"/>
  <c r="E32" i="24"/>
  <c r="H33" i="24"/>
  <c r="G33" i="24"/>
  <c r="S64" i="24"/>
  <c r="H122" i="24"/>
  <c r="G122" i="24"/>
  <c r="F122" i="24"/>
  <c r="H127" i="24"/>
  <c r="G127" i="24"/>
  <c r="H128" i="24"/>
  <c r="G128" i="24"/>
  <c r="F128" i="24"/>
  <c r="F14" i="5"/>
  <c r="G7" i="24"/>
  <c r="K10" i="24"/>
  <c r="K18" i="24"/>
  <c r="H26" i="24"/>
  <c r="G26" i="24"/>
  <c r="K30" i="24"/>
  <c r="N34" i="24"/>
  <c r="H35" i="24"/>
  <c r="G35" i="24"/>
  <c r="K35" i="24"/>
  <c r="H41" i="24"/>
  <c r="F41" i="24"/>
  <c r="H49" i="24"/>
  <c r="G49" i="24"/>
  <c r="K49" i="24"/>
  <c r="K68" i="24"/>
  <c r="H72" i="24"/>
  <c r="G72" i="24"/>
  <c r="F72" i="24"/>
  <c r="H91" i="24"/>
  <c r="G91" i="24"/>
  <c r="F91" i="24"/>
  <c r="H107" i="24"/>
  <c r="G107" i="24"/>
  <c r="F107" i="24"/>
  <c r="N111" i="24"/>
  <c r="K111" i="24"/>
  <c r="F134" i="24"/>
  <c r="F139" i="24"/>
  <c r="H143" i="24"/>
  <c r="G143" i="24"/>
  <c r="G144" i="24"/>
  <c r="H148" i="24"/>
  <c r="F148" i="24"/>
  <c r="F155" i="24"/>
  <c r="H159" i="24"/>
  <c r="G159" i="24"/>
  <c r="G160" i="24"/>
  <c r="N169" i="24"/>
  <c r="K169" i="24"/>
  <c r="M169" i="24"/>
  <c r="N171" i="24"/>
  <c r="L171" i="24"/>
  <c r="M171" i="24"/>
  <c r="N173" i="24"/>
  <c r="M173" i="24"/>
  <c r="L173" i="24"/>
  <c r="K178" i="24"/>
  <c r="O178" i="24" s="1"/>
  <c r="N180" i="24"/>
  <c r="M180" i="24"/>
  <c r="L180" i="24"/>
  <c r="H194" i="24"/>
  <c r="F196" i="24"/>
  <c r="H196" i="24"/>
  <c r="F204" i="24"/>
  <c r="H204" i="24"/>
  <c r="G204" i="24"/>
  <c r="H227" i="24"/>
  <c r="G227" i="24"/>
  <c r="E227" i="24"/>
  <c r="F227" i="24"/>
  <c r="H248" i="24"/>
  <c r="E248" i="24"/>
  <c r="G248" i="24"/>
  <c r="F310" i="24"/>
  <c r="F312" i="24"/>
  <c r="H318" i="24"/>
  <c r="E318" i="24"/>
  <c r="G318" i="24"/>
  <c r="F318" i="24"/>
  <c r="N369" i="24"/>
  <c r="M369" i="24"/>
  <c r="L369" i="24"/>
  <c r="N372" i="24"/>
  <c r="L372" i="24"/>
  <c r="M372" i="24"/>
  <c r="N381" i="24"/>
  <c r="M381" i="24"/>
  <c r="L381" i="24"/>
  <c r="N386" i="24"/>
  <c r="M386" i="24"/>
  <c r="L386" i="24"/>
  <c r="H391" i="24"/>
  <c r="E391" i="24"/>
  <c r="M455" i="24"/>
  <c r="K455" i="24"/>
  <c r="H462" i="24"/>
  <c r="G462" i="24"/>
  <c r="F462" i="24"/>
  <c r="E462" i="24"/>
  <c r="H465" i="24"/>
  <c r="G465" i="24"/>
  <c r="F465" i="24"/>
  <c r="E465" i="24"/>
  <c r="I465" i="24" s="1"/>
  <c r="N478" i="24"/>
  <c r="M478" i="24"/>
  <c r="I34" i="36"/>
  <c r="I11" i="36"/>
  <c r="J11" i="36" s="1"/>
  <c r="N11" i="36" s="1"/>
  <c r="I33" i="36"/>
  <c r="O33" i="36" s="1"/>
  <c r="E8" i="8"/>
  <c r="I17" i="37" s="1"/>
  <c r="E9" i="8"/>
  <c r="I18" i="37" s="1"/>
  <c r="P18" i="37" s="1"/>
  <c r="H24" i="24"/>
  <c r="G24" i="24"/>
  <c r="H40" i="24"/>
  <c r="E40" i="24"/>
  <c r="H92" i="24"/>
  <c r="F92" i="24"/>
  <c r="G92" i="24"/>
  <c r="H100" i="24"/>
  <c r="F100" i="24"/>
  <c r="G100" i="24"/>
  <c r="H108" i="24"/>
  <c r="F108" i="24"/>
  <c r="G108" i="24"/>
  <c r="K112" i="24"/>
  <c r="N112" i="24"/>
  <c r="G4" i="5"/>
  <c r="G4" i="24"/>
  <c r="H18" i="24"/>
  <c r="F18" i="24"/>
  <c r="E21" i="24"/>
  <c r="E24" i="24"/>
  <c r="H25" i="24"/>
  <c r="E25" i="24"/>
  <c r="N25" i="24"/>
  <c r="K26" i="24"/>
  <c r="H30" i="24"/>
  <c r="F30" i="24"/>
  <c r="F32" i="24"/>
  <c r="E33" i="24"/>
  <c r="H34" i="24"/>
  <c r="E34" i="24"/>
  <c r="K41" i="24"/>
  <c r="O41" i="24" s="1"/>
  <c r="E44" i="24"/>
  <c r="E48" i="24"/>
  <c r="H53" i="24"/>
  <c r="F53" i="24"/>
  <c r="K56" i="24"/>
  <c r="O56" i="24" s="1"/>
  <c r="F62" i="24"/>
  <c r="H65" i="24"/>
  <c r="F65" i="24"/>
  <c r="H71" i="24"/>
  <c r="G71" i="24"/>
  <c r="H74" i="24"/>
  <c r="G74" i="24"/>
  <c r="F74" i="24"/>
  <c r="K80" i="24"/>
  <c r="O80" i="24" s="1"/>
  <c r="H99" i="24"/>
  <c r="G99" i="24"/>
  <c r="F99" i="24"/>
  <c r="H115" i="24"/>
  <c r="F115" i="24"/>
  <c r="H125" i="24"/>
  <c r="F125" i="24"/>
  <c r="F127" i="24"/>
  <c r="B3" i="5"/>
  <c r="D3" i="5" s="1"/>
  <c r="K3" i="24"/>
  <c r="K8" i="24"/>
  <c r="O8" i="24" s="1"/>
  <c r="K9" i="24"/>
  <c r="L10" i="24"/>
  <c r="K11" i="24"/>
  <c r="E13" i="24"/>
  <c r="K13" i="24"/>
  <c r="G14" i="24"/>
  <c r="E15" i="24"/>
  <c r="K15" i="24"/>
  <c r="E18" i="24"/>
  <c r="F24" i="24"/>
  <c r="F25" i="24"/>
  <c r="E26" i="24"/>
  <c r="H27" i="24"/>
  <c r="E27" i="24"/>
  <c r="N27" i="24"/>
  <c r="S27" i="24"/>
  <c r="E30" i="24"/>
  <c r="G32" i="24"/>
  <c r="F33" i="24"/>
  <c r="F34" i="24"/>
  <c r="E35" i="24"/>
  <c r="H36" i="24"/>
  <c r="E36" i="24"/>
  <c r="N36" i="24"/>
  <c r="H37" i="24"/>
  <c r="G37" i="24"/>
  <c r="K37" i="24"/>
  <c r="G40" i="24"/>
  <c r="E41" i="24"/>
  <c r="H42" i="24"/>
  <c r="G42" i="24"/>
  <c r="K42" i="24"/>
  <c r="G44" i="24"/>
  <c r="H46" i="24"/>
  <c r="F46" i="24"/>
  <c r="K46" i="24"/>
  <c r="G48" i="24"/>
  <c r="E49" i="24"/>
  <c r="H50" i="24"/>
  <c r="E50" i="24"/>
  <c r="N50" i="24"/>
  <c r="S50" i="24" s="1"/>
  <c r="E53" i="24"/>
  <c r="H54" i="24"/>
  <c r="G54" i="24"/>
  <c r="K54" i="24"/>
  <c r="O54" i="24" s="1"/>
  <c r="S54" i="24"/>
  <c r="H57" i="24"/>
  <c r="G57" i="24"/>
  <c r="K57" i="24"/>
  <c r="H61" i="24"/>
  <c r="G61" i="24"/>
  <c r="G62" i="24"/>
  <c r="G65" i="24"/>
  <c r="F67" i="24"/>
  <c r="H68" i="24"/>
  <c r="G68" i="24"/>
  <c r="H69" i="24"/>
  <c r="F69" i="24"/>
  <c r="F71" i="24"/>
  <c r="H75" i="24"/>
  <c r="G75" i="24"/>
  <c r="H76" i="24"/>
  <c r="G76" i="24"/>
  <c r="F76" i="24"/>
  <c r="H78" i="24"/>
  <c r="G78" i="24"/>
  <c r="F78" i="24"/>
  <c r="H83" i="24"/>
  <c r="G83" i="24"/>
  <c r="F83" i="24"/>
  <c r="N84" i="24"/>
  <c r="K84" i="24"/>
  <c r="H88" i="24"/>
  <c r="F88" i="24"/>
  <c r="G88" i="24"/>
  <c r="H96" i="24"/>
  <c r="F96" i="24"/>
  <c r="G96" i="24"/>
  <c r="H104" i="24"/>
  <c r="F104" i="24"/>
  <c r="G104" i="24"/>
  <c r="G115" i="24"/>
  <c r="H124" i="24"/>
  <c r="G124" i="24"/>
  <c r="G125" i="24"/>
  <c r="H131" i="24"/>
  <c r="G131" i="24"/>
  <c r="F131" i="24"/>
  <c r="F143" i="24"/>
  <c r="H147" i="24"/>
  <c r="G147" i="24"/>
  <c r="G148" i="24"/>
  <c r="H152" i="24"/>
  <c r="F152" i="24"/>
  <c r="F159" i="24"/>
  <c r="K163" i="24"/>
  <c r="N164" i="24"/>
  <c r="H165" i="24"/>
  <c r="G165" i="24"/>
  <c r="F165" i="24"/>
  <c r="L169" i="24"/>
  <c r="K171" i="24"/>
  <c r="O171" i="24" s="1"/>
  <c r="K173" i="24"/>
  <c r="O173" i="24" s="1"/>
  <c r="K180" i="24"/>
  <c r="O180" i="24" s="1"/>
  <c r="F186" i="24"/>
  <c r="G186" i="24"/>
  <c r="H186" i="24"/>
  <c r="O188" i="24"/>
  <c r="F190" i="24"/>
  <c r="H190" i="24"/>
  <c r="G190" i="24"/>
  <c r="G196" i="24"/>
  <c r="N197" i="24"/>
  <c r="M197" i="24"/>
  <c r="K197" i="24"/>
  <c r="O197" i="24" s="1"/>
  <c r="L197" i="24"/>
  <c r="N202" i="24"/>
  <c r="L202" i="24"/>
  <c r="K202" i="24"/>
  <c r="O202" i="24" s="1"/>
  <c r="M202" i="24"/>
  <c r="N210" i="24"/>
  <c r="L210" i="24"/>
  <c r="M210" i="24"/>
  <c r="N222" i="24"/>
  <c r="L222" i="24"/>
  <c r="M222" i="24"/>
  <c r="K222" i="24"/>
  <c r="O222" i="24" s="1"/>
  <c r="F248" i="24"/>
  <c r="H250" i="24"/>
  <c r="G250" i="24"/>
  <c r="E250" i="24"/>
  <c r="I250" i="24" s="1"/>
  <c r="F250" i="24"/>
  <c r="H278" i="24"/>
  <c r="G278" i="24"/>
  <c r="E278" i="24"/>
  <c r="H280" i="24"/>
  <c r="G280" i="24"/>
  <c r="E280" i="24"/>
  <c r="H288" i="24"/>
  <c r="E288" i="24"/>
  <c r="G288" i="24"/>
  <c r="F288" i="24"/>
  <c r="H342" i="24"/>
  <c r="G342" i="24"/>
  <c r="E342" i="24"/>
  <c r="H344" i="24"/>
  <c r="G344" i="24"/>
  <c r="E344" i="24"/>
  <c r="H352" i="24"/>
  <c r="E352" i="24"/>
  <c r="G352" i="24"/>
  <c r="F352" i="24"/>
  <c r="H379" i="24"/>
  <c r="E379" i="24"/>
  <c r="N396" i="24"/>
  <c r="M396" i="24"/>
  <c r="L396" i="24"/>
  <c r="N398" i="24"/>
  <c r="M398" i="24"/>
  <c r="L398" i="24"/>
  <c r="N405" i="24"/>
  <c r="M405" i="24"/>
  <c r="L405" i="24"/>
  <c r="N407" i="24"/>
  <c r="M407" i="24"/>
  <c r="L407" i="24"/>
  <c r="N419" i="24"/>
  <c r="M419" i="24"/>
  <c r="L419" i="24"/>
  <c r="H21" i="24"/>
  <c r="G21" i="24"/>
  <c r="S40" i="24"/>
  <c r="K53" i="24"/>
  <c r="O53" i="24" s="1"/>
  <c r="H56" i="24"/>
  <c r="F56" i="24"/>
  <c r="D9" i="36"/>
  <c r="O9" i="36" s="1"/>
  <c r="O9" i="39" s="1"/>
  <c r="D9" i="41"/>
  <c r="D9" i="40"/>
  <c r="D9" i="37"/>
  <c r="O9" i="37" s="1"/>
  <c r="O9" i="40" s="1"/>
  <c r="O9" i="41" s="1"/>
  <c r="D9" i="42"/>
  <c r="D9" i="39"/>
  <c r="D9" i="31"/>
  <c r="D9" i="32"/>
  <c r="D9" i="29"/>
  <c r="O9" i="29" s="1"/>
  <c r="O9" i="31" s="1"/>
  <c r="D10" i="39"/>
  <c r="D10" i="37"/>
  <c r="O10" i="37" s="1"/>
  <c r="D10" i="36"/>
  <c r="D10" i="42"/>
  <c r="D10" i="40"/>
  <c r="D10" i="29"/>
  <c r="D10" i="41"/>
  <c r="D10" i="32"/>
  <c r="D10" i="31"/>
  <c r="L3" i="24"/>
  <c r="L8" i="24"/>
  <c r="L9" i="24"/>
  <c r="L11" i="24"/>
  <c r="O11" i="24" s="1"/>
  <c r="F13" i="24"/>
  <c r="F15" i="24"/>
  <c r="H16" i="24"/>
  <c r="F16" i="24"/>
  <c r="G18" i="24"/>
  <c r="H20" i="24"/>
  <c r="F20" i="24"/>
  <c r="H23" i="24"/>
  <c r="F23" i="24"/>
  <c r="G25" i="24"/>
  <c r="F26" i="24"/>
  <c r="H28" i="24"/>
  <c r="F28" i="24"/>
  <c r="G30" i="24"/>
  <c r="S31" i="24"/>
  <c r="G34" i="24"/>
  <c r="F35" i="24"/>
  <c r="H38" i="24"/>
  <c r="E38" i="24"/>
  <c r="H39" i="24"/>
  <c r="G39" i="24"/>
  <c r="G41" i="24"/>
  <c r="H43" i="24"/>
  <c r="E43" i="24"/>
  <c r="S43" i="24"/>
  <c r="F49" i="24"/>
  <c r="H51" i="24"/>
  <c r="F51" i="24"/>
  <c r="G53" i="24"/>
  <c r="G56" i="24"/>
  <c r="H58" i="24"/>
  <c r="E58" i="24"/>
  <c r="H59" i="24"/>
  <c r="G59" i="24"/>
  <c r="S59" i="24"/>
  <c r="H66" i="24"/>
  <c r="G66" i="24"/>
  <c r="G67" i="24"/>
  <c r="H79" i="24"/>
  <c r="G79" i="24"/>
  <c r="H80" i="24"/>
  <c r="G80" i="24"/>
  <c r="F80" i="24"/>
  <c r="H87" i="24"/>
  <c r="G87" i="24"/>
  <c r="F87" i="24"/>
  <c r="H95" i="24"/>
  <c r="G95" i="24"/>
  <c r="F95" i="24"/>
  <c r="H103" i="24"/>
  <c r="G103" i="24"/>
  <c r="F103" i="24"/>
  <c r="H109" i="24"/>
  <c r="G109" i="24"/>
  <c r="F109" i="24"/>
  <c r="H117" i="24"/>
  <c r="G117" i="24"/>
  <c r="H120" i="24"/>
  <c r="G120" i="24"/>
  <c r="F120" i="24"/>
  <c r="H129" i="24"/>
  <c r="F129" i="24"/>
  <c r="G129" i="24"/>
  <c r="H140" i="24"/>
  <c r="F140" i="24"/>
  <c r="H151" i="24"/>
  <c r="G151" i="24"/>
  <c r="H156" i="24"/>
  <c r="F156" i="24"/>
  <c r="H161" i="24"/>
  <c r="G161" i="24"/>
  <c r="N176" i="24"/>
  <c r="K176" i="24"/>
  <c r="O176" i="24" s="1"/>
  <c r="M176" i="24"/>
  <c r="N193" i="24"/>
  <c r="K193" i="24"/>
  <c r="M193" i="24"/>
  <c r="L193" i="24"/>
  <c r="N205" i="24"/>
  <c r="M205" i="24"/>
  <c r="L205" i="24"/>
  <c r="O205" i="24" s="1"/>
  <c r="O210" i="24"/>
  <c r="N216" i="24"/>
  <c r="K216" i="24"/>
  <c r="M216" i="24"/>
  <c r="L216" i="24"/>
  <c r="H232" i="24"/>
  <c r="E232" i="24"/>
  <c r="I232" i="24" s="1"/>
  <c r="G232" i="24"/>
  <c r="H243" i="24"/>
  <c r="G243" i="24"/>
  <c r="E243" i="24"/>
  <c r="I243" i="24" s="1"/>
  <c r="F243" i="24"/>
  <c r="H286" i="24"/>
  <c r="E286" i="24"/>
  <c r="G286" i="24"/>
  <c r="F286" i="24"/>
  <c r="F342" i="24"/>
  <c r="F344" i="24"/>
  <c r="H350" i="24"/>
  <c r="E350" i="24"/>
  <c r="I350" i="24" s="1"/>
  <c r="G350" i="24"/>
  <c r="F350" i="24"/>
  <c r="K359" i="24"/>
  <c r="M359" i="24"/>
  <c r="L359" i="24"/>
  <c r="N359" i="24"/>
  <c r="S80" i="24"/>
  <c r="S120" i="24"/>
  <c r="H126" i="24"/>
  <c r="G126" i="24"/>
  <c r="H132" i="24"/>
  <c r="G132" i="24"/>
  <c r="H133" i="24"/>
  <c r="F133" i="24"/>
  <c r="S136" i="24"/>
  <c r="H138" i="24"/>
  <c r="F138" i="24"/>
  <c r="H142" i="24"/>
  <c r="F142" i="24"/>
  <c r="H146" i="24"/>
  <c r="F146" i="24"/>
  <c r="H150" i="24"/>
  <c r="F150" i="24"/>
  <c r="H154" i="24"/>
  <c r="F154" i="24"/>
  <c r="H158" i="24"/>
  <c r="F158" i="24"/>
  <c r="H163" i="24"/>
  <c r="F163" i="24"/>
  <c r="F178" i="24"/>
  <c r="G178" i="24"/>
  <c r="F180" i="24"/>
  <c r="H180" i="24"/>
  <c r="N185" i="24"/>
  <c r="K185" i="24"/>
  <c r="N187" i="24"/>
  <c r="L187" i="24"/>
  <c r="N189" i="24"/>
  <c r="M189" i="24"/>
  <c r="N192" i="24"/>
  <c r="K192" i="24"/>
  <c r="N194" i="24"/>
  <c r="L194" i="24"/>
  <c r="N208" i="24"/>
  <c r="K208" i="24"/>
  <c r="M208" i="24"/>
  <c r="N217" i="24"/>
  <c r="K217" i="24"/>
  <c r="M217" i="24"/>
  <c r="H219" i="24"/>
  <c r="E219" i="24"/>
  <c r="H224" i="24"/>
  <c r="G224" i="24"/>
  <c r="E224" i="24"/>
  <c r="H240" i="24"/>
  <c r="G240" i="24"/>
  <c r="E240" i="24"/>
  <c r="H256" i="24"/>
  <c r="G256" i="24"/>
  <c r="E256" i="24"/>
  <c r="H263" i="24"/>
  <c r="G263" i="24"/>
  <c r="E263" i="24"/>
  <c r="H265" i="24"/>
  <c r="G265" i="24"/>
  <c r="E265" i="24"/>
  <c r="H273" i="24"/>
  <c r="E273" i="24"/>
  <c r="I273" i="24" s="1"/>
  <c r="G273" i="24"/>
  <c r="F273" i="24"/>
  <c r="H295" i="24"/>
  <c r="G295" i="24"/>
  <c r="E295" i="24"/>
  <c r="H297" i="24"/>
  <c r="G297" i="24"/>
  <c r="E297" i="24"/>
  <c r="H305" i="24"/>
  <c r="E305" i="24"/>
  <c r="I305" i="24" s="1"/>
  <c r="G305" i="24"/>
  <c r="F305" i="24"/>
  <c r="H327" i="24"/>
  <c r="G327" i="24"/>
  <c r="E327" i="24"/>
  <c r="H329" i="24"/>
  <c r="G329" i="24"/>
  <c r="E329" i="24"/>
  <c r="H337" i="24"/>
  <c r="E337" i="24"/>
  <c r="G337" i="24"/>
  <c r="F337" i="24"/>
  <c r="L365" i="24"/>
  <c r="M365" i="24"/>
  <c r="S20" i="24"/>
  <c r="S23" i="24"/>
  <c r="S41" i="24"/>
  <c r="S48" i="24"/>
  <c r="S53" i="24"/>
  <c r="S56" i="24"/>
  <c r="F73" i="24"/>
  <c r="F77" i="24"/>
  <c r="F82" i="24"/>
  <c r="F84" i="24"/>
  <c r="F86" i="24"/>
  <c r="H90" i="24"/>
  <c r="F90" i="24"/>
  <c r="H94" i="24"/>
  <c r="F94" i="24"/>
  <c r="H98" i="24"/>
  <c r="F98" i="24"/>
  <c r="H102" i="24"/>
  <c r="F102" i="24"/>
  <c r="H106" i="24"/>
  <c r="F106" i="24"/>
  <c r="H111" i="24"/>
  <c r="F111" i="24"/>
  <c r="F113" i="24"/>
  <c r="K115" i="24"/>
  <c r="N116" i="24"/>
  <c r="S116" i="24"/>
  <c r="F118" i="24"/>
  <c r="H121" i="24"/>
  <c r="F121" i="24"/>
  <c r="F126" i="24"/>
  <c r="H130" i="24"/>
  <c r="G130" i="24"/>
  <c r="F132" i="24"/>
  <c r="G133" i="24"/>
  <c r="F135" i="24"/>
  <c r="H136" i="24"/>
  <c r="G136" i="24"/>
  <c r="G138" i="24"/>
  <c r="K140" i="24"/>
  <c r="G142" i="24"/>
  <c r="K144" i="24"/>
  <c r="G146" i="24"/>
  <c r="K148" i="24"/>
  <c r="G150" i="24"/>
  <c r="K152" i="24"/>
  <c r="G154" i="24"/>
  <c r="K156" i="24"/>
  <c r="G158" i="24"/>
  <c r="K160" i="24"/>
  <c r="O160" i="24" s="1"/>
  <c r="G163" i="24"/>
  <c r="F170" i="24"/>
  <c r="G170" i="24"/>
  <c r="F172" i="24"/>
  <c r="H172" i="24"/>
  <c r="O175" i="24"/>
  <c r="N177" i="24"/>
  <c r="K177" i="24"/>
  <c r="O177" i="24" s="1"/>
  <c r="H178" i="24"/>
  <c r="N179" i="24"/>
  <c r="S179" i="24" s="1"/>
  <c r="L179" i="24"/>
  <c r="G180" i="24"/>
  <c r="N181" i="24"/>
  <c r="S181" i="24" s="1"/>
  <c r="M181" i="24"/>
  <c r="G182" i="24"/>
  <c r="N184" i="24"/>
  <c r="K184" i="24"/>
  <c r="O184" i="24" s="1"/>
  <c r="L185" i="24"/>
  <c r="N186" i="24"/>
  <c r="L186" i="24"/>
  <c r="O186" i="24" s="1"/>
  <c r="S186" i="24" s="1"/>
  <c r="K187" i="24"/>
  <c r="O187" i="24" s="1"/>
  <c r="N188" i="24"/>
  <c r="M188" i="24"/>
  <c r="K189" i="24"/>
  <c r="O189" i="24" s="1"/>
  <c r="L192" i="24"/>
  <c r="K194" i="24"/>
  <c r="O194" i="24" s="1"/>
  <c r="O196" i="24"/>
  <c r="F198" i="24"/>
  <c r="H198" i="24"/>
  <c r="N200" i="24"/>
  <c r="K200" i="24"/>
  <c r="O200" i="24" s="1"/>
  <c r="L200" i="24"/>
  <c r="F202" i="24"/>
  <c r="G202" i="24"/>
  <c r="N203" i="24"/>
  <c r="S203" i="24" s="1"/>
  <c r="L203" i="24"/>
  <c r="M203" i="24"/>
  <c r="N204" i="24"/>
  <c r="M204" i="24"/>
  <c r="L204" i="24"/>
  <c r="K204" i="24"/>
  <c r="O204" i="24" s="1"/>
  <c r="L208" i="24"/>
  <c r="N215" i="24"/>
  <c r="L215" i="24"/>
  <c r="M215" i="24"/>
  <c r="K215" i="24"/>
  <c r="L217" i="24"/>
  <c r="F224" i="24"/>
  <c r="H226" i="24"/>
  <c r="E226" i="24"/>
  <c r="G226" i="24"/>
  <c r="F226" i="24"/>
  <c r="H235" i="24"/>
  <c r="E235" i="24"/>
  <c r="I235" i="24" s="1"/>
  <c r="G235" i="24"/>
  <c r="F240" i="24"/>
  <c r="H242" i="24"/>
  <c r="E242" i="24"/>
  <c r="G242" i="24"/>
  <c r="F242" i="24"/>
  <c r="H251" i="24"/>
  <c r="E251" i="24"/>
  <c r="G251" i="24"/>
  <c r="F256" i="24"/>
  <c r="F263" i="24"/>
  <c r="F265" i="24"/>
  <c r="H271" i="24"/>
  <c r="E271" i="24"/>
  <c r="G271" i="24"/>
  <c r="F271" i="24"/>
  <c r="F295" i="24"/>
  <c r="F297" i="24"/>
  <c r="H303" i="24"/>
  <c r="E303" i="24"/>
  <c r="I303" i="24" s="1"/>
  <c r="G303" i="24"/>
  <c r="F303" i="24"/>
  <c r="F327" i="24"/>
  <c r="F329" i="24"/>
  <c r="H335" i="24"/>
  <c r="E335" i="24"/>
  <c r="I335" i="24" s="1"/>
  <c r="G335" i="24"/>
  <c r="F335" i="24"/>
  <c r="K358" i="24"/>
  <c r="O358" i="24" s="1"/>
  <c r="N358" i="24"/>
  <c r="L358" i="24"/>
  <c r="M358" i="24"/>
  <c r="N486" i="24"/>
  <c r="M486" i="24"/>
  <c r="H493" i="24"/>
  <c r="G493" i="24"/>
  <c r="F493" i="24"/>
  <c r="E493" i="24"/>
  <c r="Q23" i="33"/>
  <c r="S108" i="24"/>
  <c r="S160" i="24"/>
  <c r="S175" i="24"/>
  <c r="S183" i="24"/>
  <c r="S191" i="24"/>
  <c r="N196" i="24"/>
  <c r="M196" i="24"/>
  <c r="F210" i="24"/>
  <c r="G210" i="24"/>
  <c r="N221" i="24"/>
  <c r="L221" i="24"/>
  <c r="L224" i="24"/>
  <c r="K224" i="24"/>
  <c r="O224" i="24" s="1"/>
  <c r="L232" i="24"/>
  <c r="K232" i="24"/>
  <c r="O232" i="24" s="1"/>
  <c r="L240" i="24"/>
  <c r="K240" i="24"/>
  <c r="O240" i="24" s="1"/>
  <c r="L248" i="24"/>
  <c r="K248" i="24"/>
  <c r="O248" i="24" s="1"/>
  <c r="L256" i="24"/>
  <c r="K256" i="24"/>
  <c r="O256" i="24" s="1"/>
  <c r="H262" i="24"/>
  <c r="G262" i="24"/>
  <c r="E262" i="24"/>
  <c r="I262" i="24" s="1"/>
  <c r="H264" i="24"/>
  <c r="G264" i="24"/>
  <c r="E264" i="24"/>
  <c r="I264" i="24" s="1"/>
  <c r="H279" i="24"/>
  <c r="G279" i="24"/>
  <c r="E279" i="24"/>
  <c r="I279" i="24" s="1"/>
  <c r="H281" i="24"/>
  <c r="G281" i="24"/>
  <c r="E281" i="24"/>
  <c r="I281" i="24" s="1"/>
  <c r="H294" i="24"/>
  <c r="G294" i="24"/>
  <c r="E294" i="24"/>
  <c r="H296" i="24"/>
  <c r="G296" i="24"/>
  <c r="E296" i="24"/>
  <c r="I296" i="24" s="1"/>
  <c r="H311" i="24"/>
  <c r="G311" i="24"/>
  <c r="E311" i="24"/>
  <c r="H313" i="24"/>
  <c r="G313" i="24"/>
  <c r="E313" i="24"/>
  <c r="I313" i="24" s="1"/>
  <c r="H326" i="24"/>
  <c r="G326" i="24"/>
  <c r="E326" i="24"/>
  <c r="I326" i="24" s="1"/>
  <c r="H328" i="24"/>
  <c r="G328" i="24"/>
  <c r="E328" i="24"/>
  <c r="I328" i="24" s="1"/>
  <c r="H343" i="24"/>
  <c r="G343" i="24"/>
  <c r="E343" i="24"/>
  <c r="I343" i="24" s="1"/>
  <c r="H345" i="24"/>
  <c r="G345" i="24"/>
  <c r="E345" i="24"/>
  <c r="I345" i="24" s="1"/>
  <c r="N368" i="24"/>
  <c r="L368" i="24"/>
  <c r="N385" i="24"/>
  <c r="M385" i="24"/>
  <c r="L385" i="24"/>
  <c r="H488" i="24"/>
  <c r="G488" i="24"/>
  <c r="F488" i="24"/>
  <c r="E488" i="24"/>
  <c r="I488" i="24" s="1"/>
  <c r="E24" i="8"/>
  <c r="I7" i="37"/>
  <c r="O7" i="37" s="1"/>
  <c r="O206" i="24"/>
  <c r="N209" i="24"/>
  <c r="K209" i="24"/>
  <c r="O209" i="24" s="1"/>
  <c r="N211" i="24"/>
  <c r="L211" i="24"/>
  <c r="O211" i="24" s="1"/>
  <c r="N218" i="24"/>
  <c r="K218" i="24"/>
  <c r="O218" i="24" s="1"/>
  <c r="N219" i="24"/>
  <c r="S219" i="24" s="1"/>
  <c r="M219" i="24"/>
  <c r="N220" i="24"/>
  <c r="L220" i="24"/>
  <c r="H225" i="24"/>
  <c r="E225" i="24"/>
  <c r="I225" i="24" s="1"/>
  <c r="G225" i="24"/>
  <c r="L226" i="24"/>
  <c r="K226" i="24"/>
  <c r="H233" i="24"/>
  <c r="G233" i="24"/>
  <c r="E233" i="24"/>
  <c r="I233" i="24" s="1"/>
  <c r="L234" i="24"/>
  <c r="K234" i="24"/>
  <c r="O234" i="24" s="1"/>
  <c r="H241" i="24"/>
  <c r="E241" i="24"/>
  <c r="I241" i="24" s="1"/>
  <c r="G241" i="24"/>
  <c r="L242" i="24"/>
  <c r="K242" i="24"/>
  <c r="O242" i="24" s="1"/>
  <c r="H249" i="24"/>
  <c r="G249" i="24"/>
  <c r="E249" i="24"/>
  <c r="I249" i="24" s="1"/>
  <c r="L250" i="24"/>
  <c r="K250" i="24"/>
  <c r="O250" i="24" s="1"/>
  <c r="H257" i="24"/>
  <c r="E257" i="24"/>
  <c r="I257" i="24" s="1"/>
  <c r="G257" i="24"/>
  <c r="I266" i="24"/>
  <c r="I267" i="24"/>
  <c r="I268" i="24"/>
  <c r="H270" i="24"/>
  <c r="E270" i="24"/>
  <c r="I270" i="24" s="1"/>
  <c r="G270" i="24"/>
  <c r="H272" i="24"/>
  <c r="E272" i="24"/>
  <c r="I272" i="24" s="1"/>
  <c r="G272" i="24"/>
  <c r="H287" i="24"/>
  <c r="E287" i="24"/>
  <c r="I287" i="24" s="1"/>
  <c r="G287" i="24"/>
  <c r="H289" i="24"/>
  <c r="E289" i="24"/>
  <c r="I289" i="24" s="1"/>
  <c r="G289" i="24"/>
  <c r="I298" i="24"/>
  <c r="I300" i="24"/>
  <c r="I301" i="24"/>
  <c r="H302" i="24"/>
  <c r="E302" i="24"/>
  <c r="I302" i="24" s="1"/>
  <c r="G302" i="24"/>
  <c r="H304" i="24"/>
  <c r="E304" i="24"/>
  <c r="I304" i="24" s="1"/>
  <c r="G304" i="24"/>
  <c r="H319" i="24"/>
  <c r="E319" i="24"/>
  <c r="I319" i="24" s="1"/>
  <c r="G319" i="24"/>
  <c r="H321" i="24"/>
  <c r="E321" i="24"/>
  <c r="I321" i="24" s="1"/>
  <c r="G321" i="24"/>
  <c r="I330" i="24"/>
  <c r="I333" i="24"/>
  <c r="H334" i="24"/>
  <c r="E334" i="24"/>
  <c r="G334" i="24"/>
  <c r="H336" i="24"/>
  <c r="E336" i="24"/>
  <c r="I336" i="24" s="1"/>
  <c r="G336" i="24"/>
  <c r="H351" i="24"/>
  <c r="E351" i="24"/>
  <c r="I351" i="24" s="1"/>
  <c r="G351" i="24"/>
  <c r="H353" i="24"/>
  <c r="E353" i="24"/>
  <c r="I353" i="24" s="1"/>
  <c r="G353" i="24"/>
  <c r="K362" i="24"/>
  <c r="O362" i="24" s="1"/>
  <c r="L362" i="24"/>
  <c r="M362" i="24"/>
  <c r="E369" i="24"/>
  <c r="H369" i="24"/>
  <c r="H383" i="24"/>
  <c r="E383" i="24"/>
  <c r="N384" i="24"/>
  <c r="M384" i="24"/>
  <c r="L384" i="24"/>
  <c r="N393" i="24"/>
  <c r="M393" i="24"/>
  <c r="L393" i="24"/>
  <c r="N395" i="24"/>
  <c r="M395" i="24"/>
  <c r="L395" i="24"/>
  <c r="N408" i="24"/>
  <c r="M408" i="24"/>
  <c r="L408" i="24"/>
  <c r="N410" i="24"/>
  <c r="M410" i="24"/>
  <c r="L410" i="24"/>
  <c r="N420" i="24"/>
  <c r="M420" i="24"/>
  <c r="L420" i="24"/>
  <c r="N422" i="24"/>
  <c r="M422" i="24"/>
  <c r="L422" i="24"/>
  <c r="K451" i="24"/>
  <c r="N451" i="24"/>
  <c r="M451" i="24"/>
  <c r="L451" i="24"/>
  <c r="N460" i="24"/>
  <c r="M460" i="24"/>
  <c r="H480" i="24"/>
  <c r="G480" i="24"/>
  <c r="F480" i="24"/>
  <c r="E480" i="24"/>
  <c r="I480" i="24" s="1"/>
  <c r="M20" i="36"/>
  <c r="L20" i="36"/>
  <c r="N20" i="36" s="1"/>
  <c r="I25" i="37"/>
  <c r="I11" i="37"/>
  <c r="J11" i="37" s="1"/>
  <c r="N11" i="37" s="1"/>
  <c r="L16" i="42"/>
  <c r="N16" i="42" s="1"/>
  <c r="M16" i="42"/>
  <c r="S199" i="24"/>
  <c r="S207" i="24"/>
  <c r="F229" i="24"/>
  <c r="I229" i="24" s="1"/>
  <c r="F230" i="24"/>
  <c r="I230" i="24" s="1"/>
  <c r="M230" i="24"/>
  <c r="F236" i="24"/>
  <c r="M236" i="24"/>
  <c r="F239" i="24"/>
  <c r="I239" i="24" s="1"/>
  <c r="F245" i="24"/>
  <c r="I245" i="24" s="1"/>
  <c r="F246" i="24"/>
  <c r="I246" i="24" s="1"/>
  <c r="M246" i="24"/>
  <c r="F252" i="24"/>
  <c r="M252" i="24"/>
  <c r="F255" i="24"/>
  <c r="I255" i="24" s="1"/>
  <c r="F258" i="24"/>
  <c r="I258" i="24" s="1"/>
  <c r="F259" i="24"/>
  <c r="I259" i="24" s="1"/>
  <c r="F260" i="24"/>
  <c r="I260" i="24" s="1"/>
  <c r="F261" i="24"/>
  <c r="I261" i="24" s="1"/>
  <c r="F274" i="24"/>
  <c r="I274" i="24" s="1"/>
  <c r="F275" i="24"/>
  <c r="I275" i="24" s="1"/>
  <c r="F276" i="24"/>
  <c r="I276" i="24" s="1"/>
  <c r="F277" i="24"/>
  <c r="I277" i="24" s="1"/>
  <c r="F290" i="24"/>
  <c r="I290" i="24" s="1"/>
  <c r="F291" i="24"/>
  <c r="I291" i="24" s="1"/>
  <c r="F292" i="24"/>
  <c r="I292" i="24" s="1"/>
  <c r="F293" i="24"/>
  <c r="I293" i="24" s="1"/>
  <c r="F306" i="24"/>
  <c r="I306" i="24" s="1"/>
  <c r="F307" i="24"/>
  <c r="I307" i="24" s="1"/>
  <c r="F308" i="24"/>
  <c r="I308" i="24" s="1"/>
  <c r="F309" i="24"/>
  <c r="I309" i="24" s="1"/>
  <c r="F322" i="24"/>
  <c r="I322" i="24" s="1"/>
  <c r="F323" i="24"/>
  <c r="I323" i="24" s="1"/>
  <c r="F324" i="24"/>
  <c r="I324" i="24" s="1"/>
  <c r="F325" i="24"/>
  <c r="I325" i="24" s="1"/>
  <c r="F338" i="24"/>
  <c r="I338" i="24" s="1"/>
  <c r="F339" i="24"/>
  <c r="I339" i="24" s="1"/>
  <c r="F340" i="24"/>
  <c r="I340" i="24" s="1"/>
  <c r="F341" i="24"/>
  <c r="I341" i="24" s="1"/>
  <c r="F354" i="24"/>
  <c r="I354" i="24" s="1"/>
  <c r="K357" i="24"/>
  <c r="O357" i="24" s="1"/>
  <c r="N357" i="24"/>
  <c r="S357" i="24" s="1"/>
  <c r="N374" i="24"/>
  <c r="L374" i="24"/>
  <c r="H381" i="24"/>
  <c r="E381" i="24"/>
  <c r="H427" i="24"/>
  <c r="E427" i="24"/>
  <c r="H431" i="24"/>
  <c r="E431" i="24"/>
  <c r="K438" i="24"/>
  <c r="N438" i="24"/>
  <c r="M438" i="24"/>
  <c r="K440" i="24"/>
  <c r="O440" i="24" s="1"/>
  <c r="N440" i="24"/>
  <c r="M440" i="24"/>
  <c r="H455" i="24"/>
  <c r="G455" i="24"/>
  <c r="F455" i="24"/>
  <c r="E455" i="24"/>
  <c r="H464" i="24"/>
  <c r="G464" i="24"/>
  <c r="F464" i="24"/>
  <c r="E464" i="24"/>
  <c r="H478" i="24"/>
  <c r="G478" i="24"/>
  <c r="F478" i="24"/>
  <c r="E478" i="24"/>
  <c r="H481" i="24"/>
  <c r="G481" i="24"/>
  <c r="F481" i="24"/>
  <c r="E481" i="24"/>
  <c r="I484" i="24"/>
  <c r="H486" i="24"/>
  <c r="G486" i="24"/>
  <c r="F486" i="24"/>
  <c r="E486" i="24"/>
  <c r="I486" i="24" s="1"/>
  <c r="H489" i="24"/>
  <c r="G489" i="24"/>
  <c r="F489" i="24"/>
  <c r="E489" i="24"/>
  <c r="C7" i="8"/>
  <c r="C3" i="8"/>
  <c r="E15" i="8" s="1"/>
  <c r="M20" i="39"/>
  <c r="L20" i="39"/>
  <c r="N20" i="39" s="1"/>
  <c r="M20" i="41"/>
  <c r="L20" i="41"/>
  <c r="N20" i="41" s="1"/>
  <c r="S355" i="24"/>
  <c r="K360" i="24"/>
  <c r="M360" i="24"/>
  <c r="K361" i="24"/>
  <c r="L361" i="24"/>
  <c r="N370" i="24"/>
  <c r="M370" i="24"/>
  <c r="N371" i="24"/>
  <c r="L371" i="24"/>
  <c r="N383" i="24"/>
  <c r="M383" i="24"/>
  <c r="H393" i="24"/>
  <c r="E393" i="24"/>
  <c r="H403" i="24"/>
  <c r="E403" i="24"/>
  <c r="H417" i="24"/>
  <c r="E417" i="24"/>
  <c r="H425" i="24"/>
  <c r="G425" i="24"/>
  <c r="F425" i="24"/>
  <c r="E425" i="24"/>
  <c r="K439" i="24"/>
  <c r="N439" i="24"/>
  <c r="M439" i="24"/>
  <c r="K450" i="24"/>
  <c r="O450" i="24" s="1"/>
  <c r="N450" i="24"/>
  <c r="M450" i="24"/>
  <c r="L450" i="24"/>
  <c r="N462" i="24"/>
  <c r="M462" i="24"/>
  <c r="N476" i="24"/>
  <c r="M476" i="24"/>
  <c r="L493" i="24"/>
  <c r="M493" i="24"/>
  <c r="K493" i="24"/>
  <c r="O493" i="24" s="1"/>
  <c r="I10" i="32"/>
  <c r="I35" i="32" s="1"/>
  <c r="O35" i="32" s="1"/>
  <c r="I25" i="32"/>
  <c r="O25" i="32" s="1"/>
  <c r="I34" i="39"/>
  <c r="I11" i="39"/>
  <c r="J11" i="39" s="1"/>
  <c r="N11" i="39" s="1"/>
  <c r="P16" i="39"/>
  <c r="O16" i="39"/>
  <c r="K16" i="39"/>
  <c r="O15" i="37"/>
  <c r="P15" i="37"/>
  <c r="I25" i="31"/>
  <c r="I10" i="31"/>
  <c r="I35" i="31" s="1"/>
  <c r="O35" i="31" s="1"/>
  <c r="I25" i="42"/>
  <c r="P25" i="42" s="1"/>
  <c r="I10" i="42"/>
  <c r="O29" i="8"/>
  <c r="L5" i="18"/>
  <c r="K5" i="18"/>
  <c r="E395" i="24"/>
  <c r="L397" i="24"/>
  <c r="L399" i="24"/>
  <c r="L400" i="24"/>
  <c r="E405" i="24"/>
  <c r="E407" i="24"/>
  <c r="L409" i="24"/>
  <c r="L411" i="24"/>
  <c r="L412" i="24"/>
  <c r="L414" i="24"/>
  <c r="E419" i="24"/>
  <c r="L421" i="24"/>
  <c r="M423" i="24"/>
  <c r="G424" i="24"/>
  <c r="M425" i="24"/>
  <c r="G426" i="24"/>
  <c r="M429" i="24"/>
  <c r="M433" i="24"/>
  <c r="M437" i="24"/>
  <c r="L445" i="24"/>
  <c r="N448" i="24"/>
  <c r="N449" i="24"/>
  <c r="S450" i="24"/>
  <c r="M452" i="24"/>
  <c r="G453" i="24"/>
  <c r="G458" i="24"/>
  <c r="G459" i="24"/>
  <c r="G460" i="24"/>
  <c r="E466" i="24"/>
  <c r="E467" i="24"/>
  <c r="E468" i="24"/>
  <c r="I468" i="24" s="1"/>
  <c r="M468" i="24"/>
  <c r="G469" i="24"/>
  <c r="E470" i="24"/>
  <c r="M470" i="24"/>
  <c r="G471" i="24"/>
  <c r="E472" i="24"/>
  <c r="E473" i="24"/>
  <c r="G475" i="24"/>
  <c r="G476" i="24"/>
  <c r="E482" i="24"/>
  <c r="E485" i="24"/>
  <c r="K485" i="24"/>
  <c r="O485" i="24" s="1"/>
  <c r="E490" i="24"/>
  <c r="E491" i="24"/>
  <c r="E492" i="24"/>
  <c r="I25" i="41"/>
  <c r="P25" i="41" s="1"/>
  <c r="I10" i="41"/>
  <c r="P11" i="8"/>
  <c r="K16" i="37"/>
  <c r="M19" i="39"/>
  <c r="L19" i="39"/>
  <c r="N19" i="39" s="1"/>
  <c r="M16" i="40"/>
  <c r="L16" i="40"/>
  <c r="N16" i="40" s="1"/>
  <c r="M19" i="41"/>
  <c r="L19" i="41"/>
  <c r="N19" i="41" s="1"/>
  <c r="M5" i="18"/>
  <c r="M19" i="18"/>
  <c r="M20" i="18"/>
  <c r="L20" i="18"/>
  <c r="K20" i="18"/>
  <c r="M20" i="34"/>
  <c r="L20" i="34"/>
  <c r="K20" i="34"/>
  <c r="M397" i="24"/>
  <c r="M399" i="24"/>
  <c r="M400" i="24"/>
  <c r="M409" i="24"/>
  <c r="M411" i="24"/>
  <c r="M412" i="24"/>
  <c r="M414" i="24"/>
  <c r="M421" i="24"/>
  <c r="N423" i="24"/>
  <c r="N425" i="24"/>
  <c r="N437" i="24"/>
  <c r="S442" i="24"/>
  <c r="M445" i="24"/>
  <c r="I454" i="24"/>
  <c r="I456" i="24"/>
  <c r="I457" i="24"/>
  <c r="I463" i="24"/>
  <c r="F466" i="24"/>
  <c r="F467" i="24"/>
  <c r="F468" i="24"/>
  <c r="F470" i="24"/>
  <c r="F472" i="24"/>
  <c r="F473" i="24"/>
  <c r="I479" i="24"/>
  <c r="F482" i="24"/>
  <c r="F485" i="24"/>
  <c r="I487" i="24"/>
  <c r="F490" i="24"/>
  <c r="F491" i="24"/>
  <c r="F492" i="24"/>
  <c r="D15" i="8"/>
  <c r="I7" i="36"/>
  <c r="O7" i="36" s="1"/>
  <c r="D24" i="8"/>
  <c r="H3" i="8"/>
  <c r="I15" i="32"/>
  <c r="H17" i="35" s="1"/>
  <c r="I17" i="35" s="1"/>
  <c r="J17" i="35" s="1"/>
  <c r="I15" i="42"/>
  <c r="D5" i="8"/>
  <c r="I25" i="40"/>
  <c r="O25" i="40" s="1"/>
  <c r="I10" i="40"/>
  <c r="H7" i="8"/>
  <c r="M16" i="36"/>
  <c r="L16" i="36"/>
  <c r="N16" i="36" s="1"/>
  <c r="M19" i="36"/>
  <c r="L19" i="36"/>
  <c r="N19" i="36" s="1"/>
  <c r="P16" i="37"/>
  <c r="O16" i="37"/>
  <c r="M20" i="40"/>
  <c r="N20" i="40" s="1"/>
  <c r="K15" i="42"/>
  <c r="M19" i="42"/>
  <c r="N19" i="42" s="1"/>
  <c r="M20" i="42"/>
  <c r="N20" i="42" s="1"/>
  <c r="L5" i="34"/>
  <c r="K5" i="34"/>
  <c r="L19" i="34"/>
  <c r="M19" i="34" s="1"/>
  <c r="L5" i="35"/>
  <c r="K5" i="35"/>
  <c r="Q40" i="32"/>
  <c r="H15" i="18"/>
  <c r="I15" i="18" s="1"/>
  <c r="J15" i="18" s="1"/>
  <c r="H15" i="35"/>
  <c r="I15" i="35" s="1"/>
  <c r="J15" i="35" s="1"/>
  <c r="O11" i="37"/>
  <c r="D7" i="8"/>
  <c r="K15" i="32"/>
  <c r="L15" i="32" s="1"/>
  <c r="O16" i="42"/>
  <c r="K13" i="18"/>
  <c r="M13" i="18" s="1"/>
  <c r="K13" i="34"/>
  <c r="M13" i="34" s="1"/>
  <c r="K13" i="35"/>
  <c r="M13" i="35" s="1"/>
  <c r="O12" i="8"/>
  <c r="N30" i="8"/>
  <c r="R29" i="8" s="1"/>
  <c r="I10" i="29"/>
  <c r="I11" i="29" s="1"/>
  <c r="O11" i="39"/>
  <c r="O11" i="36"/>
  <c r="S71" i="24"/>
  <c r="S119" i="24"/>
  <c r="S83" i="24"/>
  <c r="S91" i="24"/>
  <c r="S95" i="24"/>
  <c r="S99" i="24"/>
  <c r="S107" i="24"/>
  <c r="S139" i="24"/>
  <c r="S143" i="24"/>
  <c r="S147" i="24"/>
  <c r="S155" i="24"/>
  <c r="E10" i="24"/>
  <c r="F10" i="24"/>
  <c r="L62" i="24"/>
  <c r="M62" i="24"/>
  <c r="L66" i="24"/>
  <c r="M66" i="24"/>
  <c r="L70" i="24"/>
  <c r="M70" i="24"/>
  <c r="L82" i="24"/>
  <c r="M82" i="24"/>
  <c r="L86" i="24"/>
  <c r="M86" i="24"/>
  <c r="L94" i="24"/>
  <c r="M94" i="24"/>
  <c r="L98" i="24"/>
  <c r="M98" i="24"/>
  <c r="L102" i="24"/>
  <c r="M102" i="24"/>
  <c r="L106" i="24"/>
  <c r="M106" i="24"/>
  <c r="L110" i="24"/>
  <c r="M110" i="24"/>
  <c r="L118" i="24"/>
  <c r="M118" i="24"/>
  <c r="L126" i="24"/>
  <c r="M126" i="24"/>
  <c r="L134" i="24"/>
  <c r="M134" i="24"/>
  <c r="L138" i="24"/>
  <c r="M138" i="24"/>
  <c r="L146" i="24"/>
  <c r="M146" i="24"/>
  <c r="L150" i="24"/>
  <c r="M150" i="24"/>
  <c r="L158" i="24"/>
  <c r="M158" i="24"/>
  <c r="L253" i="24"/>
  <c r="K253" i="24"/>
  <c r="O253" i="24" s="1"/>
  <c r="M253" i="24"/>
  <c r="N253" i="24"/>
  <c r="L274" i="24"/>
  <c r="M274" i="24"/>
  <c r="N274" i="24"/>
  <c r="S274" i="24" s="1"/>
  <c r="K274" i="24"/>
  <c r="O274" i="24" s="1"/>
  <c r="L306" i="24"/>
  <c r="M306" i="24"/>
  <c r="N306" i="24"/>
  <c r="K306" i="24"/>
  <c r="W3" i="24"/>
  <c r="E9" i="24"/>
  <c r="F9" i="24"/>
  <c r="G10" i="24"/>
  <c r="L61" i="24"/>
  <c r="M61" i="24"/>
  <c r="K66" i="24"/>
  <c r="K70" i="24"/>
  <c r="O70" i="24" s="1"/>
  <c r="L77" i="24"/>
  <c r="M77" i="24"/>
  <c r="L85" i="24"/>
  <c r="M85" i="24"/>
  <c r="L89" i="24"/>
  <c r="M89" i="24"/>
  <c r="K94" i="24"/>
  <c r="L97" i="24"/>
  <c r="M97" i="24"/>
  <c r="K98" i="24"/>
  <c r="O98" i="24" s="1"/>
  <c r="K106" i="24"/>
  <c r="O106" i="24" s="1"/>
  <c r="L109" i="24"/>
  <c r="M109" i="24"/>
  <c r="L113" i="24"/>
  <c r="M113" i="24"/>
  <c r="L117" i="24"/>
  <c r="M117" i="24"/>
  <c r="L121" i="24"/>
  <c r="M121" i="24"/>
  <c r="L125" i="24"/>
  <c r="M125" i="24"/>
  <c r="L129" i="24"/>
  <c r="M129" i="24"/>
  <c r="L133" i="24"/>
  <c r="M133" i="24"/>
  <c r="L137" i="24"/>
  <c r="M137" i="24"/>
  <c r="L145" i="24"/>
  <c r="M145" i="24"/>
  <c r="L149" i="24"/>
  <c r="M149" i="24"/>
  <c r="L153" i="24"/>
  <c r="M153" i="24"/>
  <c r="K158" i="24"/>
  <c r="O158" i="24" s="1"/>
  <c r="F171" i="24"/>
  <c r="G171" i="24"/>
  <c r="E171" i="24"/>
  <c r="I171" i="24" s="1"/>
  <c r="H171" i="24"/>
  <c r="F175" i="24"/>
  <c r="G175" i="24"/>
  <c r="H175" i="24"/>
  <c r="E175" i="24"/>
  <c r="I175" i="24" s="1"/>
  <c r="F179" i="24"/>
  <c r="G179" i="24"/>
  <c r="E179" i="24"/>
  <c r="I179" i="24" s="1"/>
  <c r="H179" i="24"/>
  <c r="F183" i="24"/>
  <c r="G183" i="24"/>
  <c r="H183" i="24"/>
  <c r="E183" i="24"/>
  <c r="I183" i="24" s="1"/>
  <c r="F187" i="24"/>
  <c r="G187" i="24"/>
  <c r="E187" i="24"/>
  <c r="I187" i="24" s="1"/>
  <c r="H187" i="24"/>
  <c r="F191" i="24"/>
  <c r="G191" i="24"/>
  <c r="E191" i="24"/>
  <c r="I191" i="24" s="1"/>
  <c r="H191" i="24"/>
  <c r="F195" i="24"/>
  <c r="G195" i="24"/>
  <c r="E195" i="24"/>
  <c r="I195" i="24" s="1"/>
  <c r="H195" i="24"/>
  <c r="F199" i="24"/>
  <c r="G199" i="24"/>
  <c r="E199" i="24"/>
  <c r="I199" i="24" s="1"/>
  <c r="H199" i="24"/>
  <c r="F203" i="24"/>
  <c r="G203" i="24"/>
  <c r="E203" i="24"/>
  <c r="I203" i="24" s="1"/>
  <c r="H203" i="24"/>
  <c r="F207" i="24"/>
  <c r="G207" i="24"/>
  <c r="H207" i="24"/>
  <c r="E207" i="24"/>
  <c r="I207" i="24" s="1"/>
  <c r="L233" i="24"/>
  <c r="K233" i="24"/>
  <c r="O233" i="24" s="1"/>
  <c r="M233" i="24"/>
  <c r="N233" i="24"/>
  <c r="S233" i="24" s="1"/>
  <c r="L249" i="24"/>
  <c r="K249" i="24"/>
  <c r="M249" i="24"/>
  <c r="N249" i="24"/>
  <c r="L278" i="24"/>
  <c r="M278" i="24"/>
  <c r="N278" i="24"/>
  <c r="K278" i="24"/>
  <c r="L294" i="24"/>
  <c r="M294" i="24"/>
  <c r="N294" i="24"/>
  <c r="K294" i="24"/>
  <c r="L310" i="24"/>
  <c r="M310" i="24"/>
  <c r="N310" i="24"/>
  <c r="K310" i="24"/>
  <c r="O3" i="24"/>
  <c r="S3" i="24" s="1"/>
  <c r="I5" i="24"/>
  <c r="E7" i="24"/>
  <c r="F7" i="24"/>
  <c r="H9" i="24"/>
  <c r="E11" i="24"/>
  <c r="F11"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N61" i="24"/>
  <c r="L63" i="24"/>
  <c r="O63" i="24" s="1"/>
  <c r="S63" i="24" s="1"/>
  <c r="M63" i="24"/>
  <c r="L67" i="24"/>
  <c r="O67" i="24" s="1"/>
  <c r="S67" i="24" s="1"/>
  <c r="M67" i="24"/>
  <c r="L71" i="24"/>
  <c r="M71" i="24"/>
  <c r="L75" i="24"/>
  <c r="O75" i="24" s="1"/>
  <c r="S75" i="24" s="1"/>
  <c r="M75" i="24"/>
  <c r="N77" i="24"/>
  <c r="L79" i="24"/>
  <c r="O79" i="24" s="1"/>
  <c r="S79" i="24" s="1"/>
  <c r="M79" i="24"/>
  <c r="L83" i="24"/>
  <c r="M83" i="24"/>
  <c r="N85" i="24"/>
  <c r="L87" i="24"/>
  <c r="O87" i="24" s="1"/>
  <c r="S87" i="24" s="1"/>
  <c r="M87" i="24"/>
  <c r="N89" i="24"/>
  <c r="L91" i="24"/>
  <c r="M91" i="24"/>
  <c r="L95" i="24"/>
  <c r="M95" i="24"/>
  <c r="N97" i="24"/>
  <c r="L99" i="24"/>
  <c r="M99" i="24"/>
  <c r="L103" i="24"/>
  <c r="O103" i="24" s="1"/>
  <c r="S103" i="24" s="1"/>
  <c r="M103" i="24"/>
  <c r="L107" i="24"/>
  <c r="M107" i="24"/>
  <c r="N109" i="24"/>
  <c r="L111" i="24"/>
  <c r="O111" i="24" s="1"/>
  <c r="S111" i="24" s="1"/>
  <c r="M111" i="24"/>
  <c r="N113" i="24"/>
  <c r="L115" i="24"/>
  <c r="O115" i="24" s="1"/>
  <c r="S115" i="24" s="1"/>
  <c r="M115" i="24"/>
  <c r="N117" i="24"/>
  <c r="L119" i="24"/>
  <c r="M119" i="24"/>
  <c r="N121" i="24"/>
  <c r="L123" i="24"/>
  <c r="O123" i="24" s="1"/>
  <c r="S123" i="24" s="1"/>
  <c r="M123" i="24"/>
  <c r="N125" i="24"/>
  <c r="L127" i="24"/>
  <c r="O127" i="24" s="1"/>
  <c r="S127" i="24" s="1"/>
  <c r="M127" i="24"/>
  <c r="N129" i="24"/>
  <c r="L131" i="24"/>
  <c r="O131" i="24" s="1"/>
  <c r="S131" i="24" s="1"/>
  <c r="M131" i="24"/>
  <c r="N133" i="24"/>
  <c r="L135" i="24"/>
  <c r="O135" i="24" s="1"/>
  <c r="S135" i="24" s="1"/>
  <c r="M135" i="24"/>
  <c r="N137" i="24"/>
  <c r="L139" i="24"/>
  <c r="M139" i="24"/>
  <c r="L143" i="24"/>
  <c r="M143" i="24"/>
  <c r="N145" i="24"/>
  <c r="L147" i="24"/>
  <c r="M147" i="24"/>
  <c r="N149" i="24"/>
  <c r="L151" i="24"/>
  <c r="O151" i="24" s="1"/>
  <c r="S151" i="24" s="1"/>
  <c r="M151" i="24"/>
  <c r="N153" i="24"/>
  <c r="L155" i="24"/>
  <c r="M155" i="24"/>
  <c r="L159" i="24"/>
  <c r="O159" i="24" s="1"/>
  <c r="S159" i="24" s="1"/>
  <c r="M159" i="24"/>
  <c r="L163" i="24"/>
  <c r="O163" i="24" s="1"/>
  <c r="S163" i="24" s="1"/>
  <c r="M163" i="24"/>
  <c r="S168" i="24"/>
  <c r="S170" i="24"/>
  <c r="S172" i="24"/>
  <c r="S174" i="24"/>
  <c r="S176" i="24"/>
  <c r="S178" i="24"/>
  <c r="S180" i="24"/>
  <c r="S182" i="24"/>
  <c r="S184" i="24"/>
  <c r="S188" i="24"/>
  <c r="S190" i="24"/>
  <c r="S194" i="24"/>
  <c r="S196" i="24"/>
  <c r="S198" i="24"/>
  <c r="S200" i="24"/>
  <c r="S202" i="24"/>
  <c r="S204" i="24"/>
  <c r="S206" i="24"/>
  <c r="S210" i="24"/>
  <c r="L225" i="24"/>
  <c r="K225" i="24"/>
  <c r="O225" i="24" s="1"/>
  <c r="M225" i="24"/>
  <c r="N225" i="24"/>
  <c r="L241" i="24"/>
  <c r="K241" i="24"/>
  <c r="M241" i="24"/>
  <c r="N241" i="24"/>
  <c r="L270" i="24"/>
  <c r="M270" i="24"/>
  <c r="N270" i="24"/>
  <c r="K270" i="24"/>
  <c r="L286" i="24"/>
  <c r="M286" i="24"/>
  <c r="N286" i="24"/>
  <c r="K286" i="24"/>
  <c r="L302" i="24"/>
  <c r="M302" i="24"/>
  <c r="N302" i="24"/>
  <c r="K302" i="24"/>
  <c r="O302" i="24" s="1"/>
  <c r="L318" i="24"/>
  <c r="M318" i="24"/>
  <c r="N318" i="24"/>
  <c r="S318" i="24" s="1"/>
  <c r="K318" i="24"/>
  <c r="O318" i="24" s="1"/>
  <c r="L334" i="24"/>
  <c r="M334" i="24"/>
  <c r="N334" i="24"/>
  <c r="K334" i="24"/>
  <c r="L350" i="24"/>
  <c r="M350" i="24"/>
  <c r="N350" i="24"/>
  <c r="K350" i="24"/>
  <c r="O350" i="24" s="1"/>
  <c r="F382" i="24"/>
  <c r="G382" i="24"/>
  <c r="H382" i="24"/>
  <c r="E382" i="24"/>
  <c r="F414" i="24"/>
  <c r="G414" i="24"/>
  <c r="H414" i="24"/>
  <c r="E414" i="24"/>
  <c r="E6" i="24"/>
  <c r="I6" i="24" s="1"/>
  <c r="F6" i="24"/>
  <c r="L74" i="24"/>
  <c r="M74" i="24"/>
  <c r="L78" i="24"/>
  <c r="M78" i="24"/>
  <c r="L90" i="24"/>
  <c r="O90" i="24" s="1"/>
  <c r="M90" i="24"/>
  <c r="L114" i="24"/>
  <c r="M114" i="24"/>
  <c r="L122" i="24"/>
  <c r="M122" i="24"/>
  <c r="L130" i="24"/>
  <c r="O130" i="24" s="1"/>
  <c r="M130" i="24"/>
  <c r="L142" i="24"/>
  <c r="M142" i="24"/>
  <c r="L154" i="24"/>
  <c r="M154" i="24"/>
  <c r="L162" i="24"/>
  <c r="M162" i="24"/>
  <c r="L237" i="24"/>
  <c r="K237" i="24"/>
  <c r="M237" i="24"/>
  <c r="N237" i="24"/>
  <c r="L258" i="24"/>
  <c r="M258" i="24"/>
  <c r="N258" i="24"/>
  <c r="K258" i="24"/>
  <c r="O258" i="24" s="1"/>
  <c r="L290" i="24"/>
  <c r="M290" i="24"/>
  <c r="N290" i="24"/>
  <c r="K290" i="24"/>
  <c r="L322" i="24"/>
  <c r="M322" i="24"/>
  <c r="N322" i="24"/>
  <c r="K322" i="24"/>
  <c r="O322" i="24" s="1"/>
  <c r="L338" i="24"/>
  <c r="M338" i="24"/>
  <c r="N338" i="24"/>
  <c r="K338" i="24"/>
  <c r="L354" i="24"/>
  <c r="M354" i="24"/>
  <c r="N354" i="24"/>
  <c r="K354" i="24"/>
  <c r="O354" i="24" s="1"/>
  <c r="W4" i="24"/>
  <c r="G6" i="24"/>
  <c r="K62" i="24"/>
  <c r="O62" i="24" s="1"/>
  <c r="L65" i="24"/>
  <c r="M65" i="24"/>
  <c r="L69" i="24"/>
  <c r="M69" i="24"/>
  <c r="L73" i="24"/>
  <c r="M73" i="24"/>
  <c r="K74" i="24"/>
  <c r="O74" i="24" s="1"/>
  <c r="K78" i="24"/>
  <c r="O78" i="24" s="1"/>
  <c r="L81" i="24"/>
  <c r="M81" i="24"/>
  <c r="K82" i="24"/>
  <c r="O82" i="24" s="1"/>
  <c r="K86" i="24"/>
  <c r="O86" i="24" s="1"/>
  <c r="L93" i="24"/>
  <c r="M93" i="24"/>
  <c r="L101" i="24"/>
  <c r="M101" i="24"/>
  <c r="K102" i="24"/>
  <c r="O102" i="24" s="1"/>
  <c r="L105" i="24"/>
  <c r="M105" i="24"/>
  <c r="K110" i="24"/>
  <c r="O110" i="24" s="1"/>
  <c r="K118" i="24"/>
  <c r="O118" i="24" s="1"/>
  <c r="K122" i="24"/>
  <c r="O122" i="24" s="1"/>
  <c r="K126" i="24"/>
  <c r="O126" i="24" s="1"/>
  <c r="K134" i="24"/>
  <c r="O134" i="24" s="1"/>
  <c r="K138" i="24"/>
  <c r="L141" i="24"/>
  <c r="M141" i="24"/>
  <c r="K142" i="24"/>
  <c r="O142" i="24" s="1"/>
  <c r="K146" i="24"/>
  <c r="O146" i="24" s="1"/>
  <c r="K150" i="24"/>
  <c r="K154" i="24"/>
  <c r="O154" i="24" s="1"/>
  <c r="L157" i="24"/>
  <c r="M157" i="24"/>
  <c r="L161" i="24"/>
  <c r="M161" i="24"/>
  <c r="L165" i="24"/>
  <c r="M165" i="24"/>
  <c r="F169" i="24"/>
  <c r="G169" i="24"/>
  <c r="E169" i="24"/>
  <c r="H169" i="24"/>
  <c r="F173" i="24"/>
  <c r="G173" i="24"/>
  <c r="E173" i="24"/>
  <c r="H173" i="24"/>
  <c r="F177" i="24"/>
  <c r="G177" i="24"/>
  <c r="E177" i="24"/>
  <c r="H177" i="24"/>
  <c r="F181" i="24"/>
  <c r="G181" i="24"/>
  <c r="E181" i="24"/>
  <c r="H181" i="24"/>
  <c r="F185" i="24"/>
  <c r="G185" i="24"/>
  <c r="E185" i="24"/>
  <c r="H185" i="24"/>
  <c r="F189" i="24"/>
  <c r="G189" i="24"/>
  <c r="H189" i="24"/>
  <c r="E189" i="24"/>
  <c r="F193" i="24"/>
  <c r="G193" i="24"/>
  <c r="H193" i="24"/>
  <c r="E193" i="24"/>
  <c r="F197" i="24"/>
  <c r="G197" i="24"/>
  <c r="H197" i="24"/>
  <c r="E197" i="24"/>
  <c r="F201" i="24"/>
  <c r="G201" i="24"/>
  <c r="H201" i="24"/>
  <c r="E201" i="24"/>
  <c r="F205" i="24"/>
  <c r="G205" i="24"/>
  <c r="H205" i="24"/>
  <c r="E205" i="24"/>
  <c r="F209" i="24"/>
  <c r="G209" i="24"/>
  <c r="H209" i="24"/>
  <c r="E209" i="24"/>
  <c r="F211" i="24"/>
  <c r="G211" i="24"/>
  <c r="E211" i="24"/>
  <c r="H211" i="24"/>
  <c r="F214" i="24"/>
  <c r="G214" i="24"/>
  <c r="H214" i="24"/>
  <c r="E214" i="24"/>
  <c r="F218" i="24"/>
  <c r="G218" i="24"/>
  <c r="H218" i="24"/>
  <c r="E218" i="24"/>
  <c r="F222" i="24"/>
  <c r="G222" i="24"/>
  <c r="H222" i="24"/>
  <c r="E222" i="24"/>
  <c r="L262" i="24"/>
  <c r="M262" i="24"/>
  <c r="N262" i="24"/>
  <c r="K262" i="24"/>
  <c r="O262" i="24" s="1"/>
  <c r="L326" i="24"/>
  <c r="M326" i="24"/>
  <c r="N326" i="24"/>
  <c r="K326" i="24"/>
  <c r="O326" i="24" s="1"/>
  <c r="L342" i="24"/>
  <c r="M342" i="24"/>
  <c r="N342" i="24"/>
  <c r="K342" i="24"/>
  <c r="O342" i="24" s="1"/>
  <c r="F366" i="24"/>
  <c r="G366" i="24"/>
  <c r="H366" i="24"/>
  <c r="E366" i="24"/>
  <c r="F398" i="24"/>
  <c r="G398" i="24"/>
  <c r="H398" i="24"/>
  <c r="E398" i="24"/>
  <c r="F3" i="24"/>
  <c r="G3" i="24"/>
  <c r="E4" i="24"/>
  <c r="F4" i="24"/>
  <c r="L5" i="24"/>
  <c r="O5" i="24" s="1"/>
  <c r="S5" i="24" s="1"/>
  <c r="M5" i="24"/>
  <c r="H6" i="24"/>
  <c r="E8" i="24"/>
  <c r="F8" i="24"/>
  <c r="G9" i="24"/>
  <c r="H10" i="24"/>
  <c r="E12" i="24"/>
  <c r="F12" i="24"/>
  <c r="L13" i="24"/>
  <c r="O13" i="24" s="1"/>
  <c r="S13" i="24" s="1"/>
  <c r="M13" i="24"/>
  <c r="L14" i="24"/>
  <c r="O14" i="24" s="1"/>
  <c r="S14" i="24" s="1"/>
  <c r="M14" i="24"/>
  <c r="L15" i="24"/>
  <c r="O15" i="24" s="1"/>
  <c r="S15" i="24" s="1"/>
  <c r="M15" i="24"/>
  <c r="L16" i="24"/>
  <c r="O16" i="24" s="1"/>
  <c r="S16" i="24" s="1"/>
  <c r="M16" i="24"/>
  <c r="L17" i="24"/>
  <c r="O17" i="24" s="1"/>
  <c r="S17" i="24" s="1"/>
  <c r="M17" i="24"/>
  <c r="L18" i="24"/>
  <c r="O18" i="24" s="1"/>
  <c r="S18" i="24" s="1"/>
  <c r="M18" i="24"/>
  <c r="L19" i="24"/>
  <c r="O19" i="24" s="1"/>
  <c r="S19" i="24" s="1"/>
  <c r="M19" i="24"/>
  <c r="L20" i="24"/>
  <c r="M20" i="24"/>
  <c r="L21" i="24"/>
  <c r="M21" i="24"/>
  <c r="L22" i="24"/>
  <c r="O22" i="24" s="1"/>
  <c r="S22" i="24" s="1"/>
  <c r="M22" i="24"/>
  <c r="L23" i="24"/>
  <c r="M23" i="24"/>
  <c r="L24" i="24"/>
  <c r="O24" i="24" s="1"/>
  <c r="S24" i="24" s="1"/>
  <c r="M24" i="24"/>
  <c r="L25" i="24"/>
  <c r="O25" i="24" s="1"/>
  <c r="S25" i="24" s="1"/>
  <c r="M25" i="24"/>
  <c r="L26" i="24"/>
  <c r="O26" i="24" s="1"/>
  <c r="S26" i="24" s="1"/>
  <c r="M26" i="24"/>
  <c r="L27" i="24"/>
  <c r="M27" i="24"/>
  <c r="L28" i="24"/>
  <c r="O28" i="24" s="1"/>
  <c r="S28" i="24" s="1"/>
  <c r="M28" i="24"/>
  <c r="L29" i="24"/>
  <c r="O29" i="24" s="1"/>
  <c r="S29" i="24" s="1"/>
  <c r="M29" i="24"/>
  <c r="L30" i="24"/>
  <c r="O30" i="24" s="1"/>
  <c r="S30" i="24" s="1"/>
  <c r="M30" i="24"/>
  <c r="L31" i="24"/>
  <c r="M31" i="24"/>
  <c r="L32" i="24"/>
  <c r="O32" i="24" s="1"/>
  <c r="S32" i="24" s="1"/>
  <c r="M32" i="24"/>
  <c r="L33" i="24"/>
  <c r="O33" i="24" s="1"/>
  <c r="S33" i="24" s="1"/>
  <c r="M33" i="24"/>
  <c r="L34" i="24"/>
  <c r="O34" i="24" s="1"/>
  <c r="S34" i="24" s="1"/>
  <c r="M34" i="24"/>
  <c r="L35" i="24"/>
  <c r="O35" i="24" s="1"/>
  <c r="S35" i="24" s="1"/>
  <c r="M35" i="24"/>
  <c r="L36" i="24"/>
  <c r="O36" i="24" s="1"/>
  <c r="S36" i="24" s="1"/>
  <c r="M36" i="24"/>
  <c r="L37" i="24"/>
  <c r="O37" i="24" s="1"/>
  <c r="S37" i="24" s="1"/>
  <c r="M37" i="24"/>
  <c r="L38" i="24"/>
  <c r="O38" i="24" s="1"/>
  <c r="S38" i="24" s="1"/>
  <c r="M38" i="24"/>
  <c r="L39" i="24"/>
  <c r="O39" i="24" s="1"/>
  <c r="S39" i="24" s="1"/>
  <c r="M39" i="24"/>
  <c r="L40" i="24"/>
  <c r="M40" i="24"/>
  <c r="L41" i="24"/>
  <c r="M41" i="24"/>
  <c r="L42" i="24"/>
  <c r="O42" i="24" s="1"/>
  <c r="S42" i="24" s="1"/>
  <c r="M42" i="24"/>
  <c r="L43" i="24"/>
  <c r="M43" i="24"/>
  <c r="L44" i="24"/>
  <c r="O44" i="24" s="1"/>
  <c r="S44" i="24" s="1"/>
  <c r="M44" i="24"/>
  <c r="L45" i="24"/>
  <c r="O45" i="24" s="1"/>
  <c r="S45" i="24" s="1"/>
  <c r="M45" i="24"/>
  <c r="L46" i="24"/>
  <c r="O46" i="24" s="1"/>
  <c r="S46" i="24" s="1"/>
  <c r="M46" i="24"/>
  <c r="L47" i="24"/>
  <c r="O47" i="24" s="1"/>
  <c r="S47" i="24" s="1"/>
  <c r="M47" i="24"/>
  <c r="L48" i="24"/>
  <c r="M48" i="24"/>
  <c r="L49" i="24"/>
  <c r="O49" i="24" s="1"/>
  <c r="S49" i="24" s="1"/>
  <c r="M49" i="24"/>
  <c r="L50" i="24"/>
  <c r="M50" i="24"/>
  <c r="L51" i="24"/>
  <c r="O51" i="24" s="1"/>
  <c r="S51" i="24" s="1"/>
  <c r="M51" i="24"/>
  <c r="L52" i="24"/>
  <c r="O52" i="24" s="1"/>
  <c r="S52" i="24" s="1"/>
  <c r="M52" i="24"/>
  <c r="L53" i="24"/>
  <c r="M53" i="24"/>
  <c r="L54" i="24"/>
  <c r="M54" i="24"/>
  <c r="L55" i="24"/>
  <c r="O55" i="24" s="1"/>
  <c r="S55" i="24" s="1"/>
  <c r="M55" i="24"/>
  <c r="L56" i="24"/>
  <c r="M56" i="24"/>
  <c r="L57" i="24"/>
  <c r="O57" i="24" s="1"/>
  <c r="S57" i="24" s="1"/>
  <c r="M57" i="24"/>
  <c r="L58" i="24"/>
  <c r="O58" i="24" s="1"/>
  <c r="S58" i="24" s="1"/>
  <c r="M58" i="24"/>
  <c r="L59" i="24"/>
  <c r="M59" i="24"/>
  <c r="L60" i="24"/>
  <c r="O60" i="24" s="1"/>
  <c r="S60" i="24" s="1"/>
  <c r="M60" i="24"/>
  <c r="K61" i="24"/>
  <c r="O61" i="24" s="1"/>
  <c r="N62" i="24"/>
  <c r="S62" i="24" s="1"/>
  <c r="L64" i="24"/>
  <c r="M64" i="24"/>
  <c r="K65" i="24"/>
  <c r="O65" i="24" s="1"/>
  <c r="S65" i="24" s="1"/>
  <c r="N66" i="24"/>
  <c r="L68" i="24"/>
  <c r="O68" i="24" s="1"/>
  <c r="S68" i="24" s="1"/>
  <c r="M68" i="24"/>
  <c r="K69" i="24"/>
  <c r="O69" i="24" s="1"/>
  <c r="S69" i="24" s="1"/>
  <c r="N70" i="24"/>
  <c r="S70" i="24" s="1"/>
  <c r="L72" i="24"/>
  <c r="O72" i="24" s="1"/>
  <c r="S72" i="24" s="1"/>
  <c r="M72" i="24"/>
  <c r="K73" i="24"/>
  <c r="O73" i="24" s="1"/>
  <c r="S73" i="24" s="1"/>
  <c r="N74" i="24"/>
  <c r="S74" i="24" s="1"/>
  <c r="L76" i="24"/>
  <c r="O76" i="24" s="1"/>
  <c r="S76" i="24" s="1"/>
  <c r="M76" i="24"/>
  <c r="K77" i="24"/>
  <c r="O77" i="24" s="1"/>
  <c r="N78" i="24"/>
  <c r="S78" i="24" s="1"/>
  <c r="L80" i="24"/>
  <c r="M80" i="24"/>
  <c r="K81" i="24"/>
  <c r="O81" i="24" s="1"/>
  <c r="S81" i="24" s="1"/>
  <c r="N82" i="24"/>
  <c r="S82" i="24" s="1"/>
  <c r="L84" i="24"/>
  <c r="O84" i="24" s="1"/>
  <c r="S84" i="24" s="1"/>
  <c r="M84" i="24"/>
  <c r="K85" i="24"/>
  <c r="O85" i="24" s="1"/>
  <c r="N86" i="24"/>
  <c r="S86" i="24" s="1"/>
  <c r="L88" i="24"/>
  <c r="O88" i="24" s="1"/>
  <c r="S88" i="24" s="1"/>
  <c r="M88" i="24"/>
  <c r="K89" i="24"/>
  <c r="O89" i="24" s="1"/>
  <c r="N90" i="24"/>
  <c r="L92" i="24"/>
  <c r="O92" i="24" s="1"/>
  <c r="S92" i="24" s="1"/>
  <c r="M92" i="24"/>
  <c r="K93" i="24"/>
  <c r="O93" i="24" s="1"/>
  <c r="S93" i="24" s="1"/>
  <c r="N94" i="24"/>
  <c r="L96" i="24"/>
  <c r="O96" i="24" s="1"/>
  <c r="S96" i="24" s="1"/>
  <c r="M96" i="24"/>
  <c r="K97" i="24"/>
  <c r="O97" i="24" s="1"/>
  <c r="N98" i="24"/>
  <c r="S98" i="24" s="1"/>
  <c r="L100" i="24"/>
  <c r="O100" i="24" s="1"/>
  <c r="S100" i="24" s="1"/>
  <c r="M100" i="24"/>
  <c r="K101" i="24"/>
  <c r="O101" i="24" s="1"/>
  <c r="S101" i="24" s="1"/>
  <c r="N102" i="24"/>
  <c r="S102" i="24" s="1"/>
  <c r="L104" i="24"/>
  <c r="O104" i="24" s="1"/>
  <c r="S104" i="24" s="1"/>
  <c r="M104" i="24"/>
  <c r="K105" i="24"/>
  <c r="O105" i="24" s="1"/>
  <c r="S105" i="24" s="1"/>
  <c r="N106" i="24"/>
  <c r="S106" i="24" s="1"/>
  <c r="L108" i="24"/>
  <c r="M108" i="24"/>
  <c r="K109" i="24"/>
  <c r="O109" i="24" s="1"/>
  <c r="N110" i="24"/>
  <c r="S110" i="24" s="1"/>
  <c r="L112" i="24"/>
  <c r="O112" i="24" s="1"/>
  <c r="S112" i="24" s="1"/>
  <c r="M112" i="24"/>
  <c r="K113" i="24"/>
  <c r="O113" i="24" s="1"/>
  <c r="N114" i="24"/>
  <c r="S114" i="24" s="1"/>
  <c r="L116" i="24"/>
  <c r="M116" i="24"/>
  <c r="K117" i="24"/>
  <c r="O117" i="24" s="1"/>
  <c r="N118" i="24"/>
  <c r="S118" i="24" s="1"/>
  <c r="L120" i="24"/>
  <c r="M120" i="24"/>
  <c r="K121" i="24"/>
  <c r="N122" i="24"/>
  <c r="S122" i="24" s="1"/>
  <c r="L124" i="24"/>
  <c r="O124" i="24" s="1"/>
  <c r="S124" i="24" s="1"/>
  <c r="M124" i="24"/>
  <c r="K125" i="24"/>
  <c r="O125" i="24" s="1"/>
  <c r="N126" i="24"/>
  <c r="S126" i="24" s="1"/>
  <c r="L128" i="24"/>
  <c r="O128" i="24" s="1"/>
  <c r="S128" i="24" s="1"/>
  <c r="M128" i="24"/>
  <c r="K129" i="24"/>
  <c r="N130" i="24"/>
  <c r="L132" i="24"/>
  <c r="O132" i="24" s="1"/>
  <c r="S132" i="24" s="1"/>
  <c r="M132" i="24"/>
  <c r="K133" i="24"/>
  <c r="O133" i="24" s="1"/>
  <c r="N134" i="24"/>
  <c r="S134" i="24" s="1"/>
  <c r="L136" i="24"/>
  <c r="M136" i="24"/>
  <c r="K137" i="24"/>
  <c r="O137" i="24" s="1"/>
  <c r="N138" i="24"/>
  <c r="L140" i="24"/>
  <c r="O140" i="24" s="1"/>
  <c r="S140" i="24" s="1"/>
  <c r="M140" i="24"/>
  <c r="K141" i="24"/>
  <c r="O141" i="24" s="1"/>
  <c r="S141" i="24" s="1"/>
  <c r="N142" i="24"/>
  <c r="S142" i="24" s="1"/>
  <c r="L144" i="24"/>
  <c r="O144" i="24" s="1"/>
  <c r="S144" i="24" s="1"/>
  <c r="M144" i="24"/>
  <c r="K145" i="24"/>
  <c r="O145" i="24" s="1"/>
  <c r="N146" i="24"/>
  <c r="S146" i="24" s="1"/>
  <c r="L148" i="24"/>
  <c r="O148" i="24" s="1"/>
  <c r="S148" i="24" s="1"/>
  <c r="M148" i="24"/>
  <c r="K149" i="24"/>
  <c r="N150" i="24"/>
  <c r="L152" i="24"/>
  <c r="O152" i="24" s="1"/>
  <c r="S152" i="24" s="1"/>
  <c r="M152" i="24"/>
  <c r="K153" i="24"/>
  <c r="O153" i="24" s="1"/>
  <c r="N154" i="24"/>
  <c r="S154" i="24" s="1"/>
  <c r="L156" i="24"/>
  <c r="O156" i="24" s="1"/>
  <c r="S156" i="24" s="1"/>
  <c r="M156" i="24"/>
  <c r="K157" i="24"/>
  <c r="O157" i="24" s="1"/>
  <c r="S157" i="24" s="1"/>
  <c r="N158" i="24"/>
  <c r="S158" i="24" s="1"/>
  <c r="L160" i="24"/>
  <c r="M160" i="24"/>
  <c r="K161" i="24"/>
  <c r="O161" i="24" s="1"/>
  <c r="S161" i="24" s="1"/>
  <c r="N162" i="24"/>
  <c r="S162" i="24" s="1"/>
  <c r="L164" i="24"/>
  <c r="O164" i="24" s="1"/>
  <c r="S164" i="24" s="1"/>
  <c r="M164" i="24"/>
  <c r="K165" i="24"/>
  <c r="L166" i="24"/>
  <c r="M166" i="24"/>
  <c r="K166" i="24"/>
  <c r="O166" i="24" s="1"/>
  <c r="S166" i="24"/>
  <c r="L167" i="24"/>
  <c r="K167" i="24"/>
  <c r="M167" i="24"/>
  <c r="S225" i="24"/>
  <c r="L229" i="24"/>
  <c r="K229" i="24"/>
  <c r="M229" i="24"/>
  <c r="N229" i="24"/>
  <c r="L245" i="24"/>
  <c r="K245" i="24"/>
  <c r="O245" i="24" s="1"/>
  <c r="M245" i="24"/>
  <c r="N245" i="24"/>
  <c r="L266" i="24"/>
  <c r="M266" i="24"/>
  <c r="N266" i="24"/>
  <c r="K266" i="24"/>
  <c r="L282" i="24"/>
  <c r="M282" i="24"/>
  <c r="N282" i="24"/>
  <c r="S282" i="24" s="1"/>
  <c r="K282" i="24"/>
  <c r="O282" i="24" s="1"/>
  <c r="L298" i="24"/>
  <c r="M298" i="24"/>
  <c r="N298" i="24"/>
  <c r="K298" i="24"/>
  <c r="L314" i="24"/>
  <c r="M314" i="24"/>
  <c r="N314" i="24"/>
  <c r="S314" i="24" s="1"/>
  <c r="K314" i="24"/>
  <c r="O314" i="24" s="1"/>
  <c r="L330" i="24"/>
  <c r="M330" i="24"/>
  <c r="N330" i="24"/>
  <c r="K330" i="24"/>
  <c r="L346" i="24"/>
  <c r="M346" i="24"/>
  <c r="N346" i="24"/>
  <c r="K346" i="24"/>
  <c r="O346" i="24" s="1"/>
  <c r="S214" i="24"/>
  <c r="F221" i="24"/>
  <c r="G221" i="24"/>
  <c r="S222" i="24"/>
  <c r="L263" i="24"/>
  <c r="M263" i="24"/>
  <c r="N263" i="24"/>
  <c r="L271" i="24"/>
  <c r="M271" i="24"/>
  <c r="N271" i="24"/>
  <c r="L283" i="24"/>
  <c r="M283" i="24"/>
  <c r="N283" i="24"/>
  <c r="L291" i="24"/>
  <c r="M291" i="24"/>
  <c r="N291" i="24"/>
  <c r="L303" i="24"/>
  <c r="M303" i="24"/>
  <c r="N303" i="24"/>
  <c r="L311" i="24"/>
  <c r="M311" i="24"/>
  <c r="N311" i="24"/>
  <c r="L319" i="24"/>
  <c r="M319" i="24"/>
  <c r="N319" i="24"/>
  <c r="L323" i="24"/>
  <c r="M323" i="24"/>
  <c r="N323" i="24"/>
  <c r="L331" i="24"/>
  <c r="M331" i="24"/>
  <c r="N331" i="24"/>
  <c r="L339" i="24"/>
  <c r="M339" i="24"/>
  <c r="N339" i="24"/>
  <c r="L347" i="24"/>
  <c r="M347" i="24"/>
  <c r="N347" i="24"/>
  <c r="G358" i="24"/>
  <c r="E358" i="24"/>
  <c r="F358" i="24"/>
  <c r="H358" i="24"/>
  <c r="F378" i="24"/>
  <c r="G378" i="24"/>
  <c r="H378" i="24"/>
  <c r="F394" i="24"/>
  <c r="G394" i="24"/>
  <c r="H394" i="24"/>
  <c r="G428" i="24"/>
  <c r="F428" i="24"/>
  <c r="E428" i="24"/>
  <c r="I428" i="24" s="1"/>
  <c r="H428" i="24"/>
  <c r="G449" i="24"/>
  <c r="E449" i="24"/>
  <c r="F449" i="24"/>
  <c r="H449" i="24"/>
  <c r="N4" i="24"/>
  <c r="S4" i="24" s="1"/>
  <c r="N6" i="24"/>
  <c r="S6" i="24" s="1"/>
  <c r="N7" i="24"/>
  <c r="S7" i="24" s="1"/>
  <c r="N8" i="24"/>
  <c r="S8" i="24" s="1"/>
  <c r="N9" i="24"/>
  <c r="N10" i="24"/>
  <c r="N11" i="24"/>
  <c r="S11" i="24" s="1"/>
  <c r="N12" i="24"/>
  <c r="S12" i="24" s="1"/>
  <c r="E61" i="24"/>
  <c r="I61" i="24" s="1"/>
  <c r="E62" i="24"/>
  <c r="I62" i="24" s="1"/>
  <c r="E63" i="24"/>
  <c r="I63" i="24" s="1"/>
  <c r="E64" i="24"/>
  <c r="I64" i="24" s="1"/>
  <c r="E65" i="24"/>
  <c r="I65" i="24" s="1"/>
  <c r="E66" i="24"/>
  <c r="I66" i="24" s="1"/>
  <c r="E67" i="24"/>
  <c r="I67" i="24" s="1"/>
  <c r="E68" i="24"/>
  <c r="I68" i="24" s="1"/>
  <c r="E69" i="24"/>
  <c r="I69" i="24" s="1"/>
  <c r="E70" i="24"/>
  <c r="I70" i="24" s="1"/>
  <c r="E71" i="24"/>
  <c r="I71" i="24" s="1"/>
  <c r="E72" i="24"/>
  <c r="I72" i="24" s="1"/>
  <c r="E73" i="24"/>
  <c r="I73" i="24" s="1"/>
  <c r="E74" i="24"/>
  <c r="I74" i="24" s="1"/>
  <c r="E75" i="24"/>
  <c r="I75" i="24" s="1"/>
  <c r="E76" i="24"/>
  <c r="I76" i="24" s="1"/>
  <c r="E77" i="24"/>
  <c r="I77" i="24" s="1"/>
  <c r="E78" i="24"/>
  <c r="I78" i="24" s="1"/>
  <c r="E79" i="24"/>
  <c r="I79" i="24" s="1"/>
  <c r="E80" i="24"/>
  <c r="I80" i="24" s="1"/>
  <c r="E81" i="24"/>
  <c r="I81" i="24" s="1"/>
  <c r="E82" i="24"/>
  <c r="I82" i="24" s="1"/>
  <c r="E83" i="24"/>
  <c r="I83" i="24" s="1"/>
  <c r="E84" i="24"/>
  <c r="I84" i="24" s="1"/>
  <c r="E85" i="24"/>
  <c r="I85" i="24" s="1"/>
  <c r="E86" i="24"/>
  <c r="I86" i="24" s="1"/>
  <c r="E87" i="24"/>
  <c r="I87" i="24" s="1"/>
  <c r="E88" i="24"/>
  <c r="I88" i="24" s="1"/>
  <c r="E89" i="24"/>
  <c r="I89" i="24" s="1"/>
  <c r="E90" i="24"/>
  <c r="I90" i="24" s="1"/>
  <c r="E91" i="24"/>
  <c r="I91" i="24" s="1"/>
  <c r="E92" i="24"/>
  <c r="I92" i="24" s="1"/>
  <c r="E93" i="24"/>
  <c r="I93" i="24" s="1"/>
  <c r="E94" i="24"/>
  <c r="I94" i="24" s="1"/>
  <c r="E95" i="24"/>
  <c r="I95" i="24" s="1"/>
  <c r="E96" i="24"/>
  <c r="I96" i="24" s="1"/>
  <c r="E97" i="24"/>
  <c r="I97" i="24" s="1"/>
  <c r="E98" i="24"/>
  <c r="I98" i="24" s="1"/>
  <c r="E99" i="24"/>
  <c r="I99" i="24" s="1"/>
  <c r="E100" i="24"/>
  <c r="I100" i="24" s="1"/>
  <c r="E101" i="24"/>
  <c r="I101" i="24" s="1"/>
  <c r="E102" i="24"/>
  <c r="I102" i="24" s="1"/>
  <c r="E103" i="24"/>
  <c r="I103" i="24" s="1"/>
  <c r="E104" i="24"/>
  <c r="I104" i="24" s="1"/>
  <c r="E105" i="24"/>
  <c r="I105" i="24" s="1"/>
  <c r="E106" i="24"/>
  <c r="I106" i="24" s="1"/>
  <c r="E107" i="24"/>
  <c r="I107" i="24" s="1"/>
  <c r="E108" i="24"/>
  <c r="I108" i="24" s="1"/>
  <c r="E109" i="24"/>
  <c r="I109" i="24" s="1"/>
  <c r="E110" i="24"/>
  <c r="I110" i="24" s="1"/>
  <c r="E111" i="24"/>
  <c r="I111" i="24" s="1"/>
  <c r="E112" i="24"/>
  <c r="I112" i="24" s="1"/>
  <c r="E113" i="24"/>
  <c r="I113" i="24" s="1"/>
  <c r="E114" i="24"/>
  <c r="I114" i="24" s="1"/>
  <c r="E115" i="24"/>
  <c r="I115" i="24" s="1"/>
  <c r="E116" i="24"/>
  <c r="I116" i="24" s="1"/>
  <c r="E117" i="24"/>
  <c r="I117" i="24" s="1"/>
  <c r="E118" i="24"/>
  <c r="I118" i="24" s="1"/>
  <c r="E119" i="24"/>
  <c r="I119" i="24" s="1"/>
  <c r="E120" i="24"/>
  <c r="I120" i="24" s="1"/>
  <c r="E121" i="24"/>
  <c r="I121" i="24" s="1"/>
  <c r="E122" i="24"/>
  <c r="I122" i="24" s="1"/>
  <c r="E123" i="24"/>
  <c r="I123" i="24" s="1"/>
  <c r="E124" i="24"/>
  <c r="I124" i="24" s="1"/>
  <c r="E125" i="24"/>
  <c r="I125" i="24" s="1"/>
  <c r="E126" i="24"/>
  <c r="I126" i="24" s="1"/>
  <c r="E127" i="24"/>
  <c r="I127" i="24" s="1"/>
  <c r="E128" i="24"/>
  <c r="I128" i="24" s="1"/>
  <c r="E129" i="24"/>
  <c r="I129" i="24" s="1"/>
  <c r="E130" i="24"/>
  <c r="I130" i="24" s="1"/>
  <c r="E131" i="24"/>
  <c r="I131" i="24" s="1"/>
  <c r="E132" i="24"/>
  <c r="I132" i="24" s="1"/>
  <c r="E133" i="24"/>
  <c r="I133" i="24" s="1"/>
  <c r="E134" i="24"/>
  <c r="I134" i="24" s="1"/>
  <c r="E135" i="24"/>
  <c r="I135" i="24" s="1"/>
  <c r="E136" i="24"/>
  <c r="I136" i="24" s="1"/>
  <c r="E137" i="24"/>
  <c r="I137" i="24" s="1"/>
  <c r="E138" i="24"/>
  <c r="I138" i="24" s="1"/>
  <c r="E139" i="24"/>
  <c r="I139" i="24" s="1"/>
  <c r="E140" i="24"/>
  <c r="I140" i="24" s="1"/>
  <c r="E141" i="24"/>
  <c r="I141" i="24" s="1"/>
  <c r="E142" i="24"/>
  <c r="I142" i="24" s="1"/>
  <c r="E143" i="24"/>
  <c r="I143" i="24" s="1"/>
  <c r="E144" i="24"/>
  <c r="I144" i="24" s="1"/>
  <c r="E145" i="24"/>
  <c r="I145" i="24" s="1"/>
  <c r="E146" i="24"/>
  <c r="I146" i="24" s="1"/>
  <c r="E147" i="24"/>
  <c r="I147" i="24" s="1"/>
  <c r="E148" i="24"/>
  <c r="I148" i="24" s="1"/>
  <c r="E149" i="24"/>
  <c r="I149" i="24" s="1"/>
  <c r="E150" i="24"/>
  <c r="I150" i="24" s="1"/>
  <c r="E151" i="24"/>
  <c r="I151" i="24" s="1"/>
  <c r="E152" i="24"/>
  <c r="I152" i="24" s="1"/>
  <c r="E153" i="24"/>
  <c r="I153" i="24" s="1"/>
  <c r="E154" i="24"/>
  <c r="I154" i="24" s="1"/>
  <c r="E155" i="24"/>
  <c r="I155" i="24" s="1"/>
  <c r="E156" i="24"/>
  <c r="I156" i="24" s="1"/>
  <c r="E157" i="24"/>
  <c r="I157" i="24" s="1"/>
  <c r="E158" i="24"/>
  <c r="I158" i="24" s="1"/>
  <c r="E159" i="24"/>
  <c r="I159" i="24" s="1"/>
  <c r="E160" i="24"/>
  <c r="I160" i="24" s="1"/>
  <c r="E161" i="24"/>
  <c r="I161" i="24" s="1"/>
  <c r="E162" i="24"/>
  <c r="I162" i="24" s="1"/>
  <c r="E163" i="24"/>
  <c r="I163" i="24" s="1"/>
  <c r="E164" i="24"/>
  <c r="I164" i="24" s="1"/>
  <c r="E165" i="24"/>
  <c r="I165" i="24" s="1"/>
  <c r="E166" i="24"/>
  <c r="I166" i="24" s="1"/>
  <c r="E167" i="24"/>
  <c r="I167" i="24" s="1"/>
  <c r="E168" i="24"/>
  <c r="I168" i="24" s="1"/>
  <c r="E170" i="24"/>
  <c r="I170" i="24" s="1"/>
  <c r="E172" i="24"/>
  <c r="I172" i="24" s="1"/>
  <c r="E174" i="24"/>
  <c r="I174" i="24" s="1"/>
  <c r="E176" i="24"/>
  <c r="I176" i="24" s="1"/>
  <c r="E178" i="24"/>
  <c r="I178" i="24" s="1"/>
  <c r="E180" i="24"/>
  <c r="I180" i="24" s="1"/>
  <c r="E182" i="24"/>
  <c r="I182" i="24" s="1"/>
  <c r="E184" i="24"/>
  <c r="I184" i="24" s="1"/>
  <c r="E186" i="24"/>
  <c r="I186" i="24" s="1"/>
  <c r="E188" i="24"/>
  <c r="I188" i="24" s="1"/>
  <c r="E190" i="24"/>
  <c r="I190" i="24" s="1"/>
  <c r="E192" i="24"/>
  <c r="I192" i="24" s="1"/>
  <c r="E194" i="24"/>
  <c r="I194" i="24" s="1"/>
  <c r="E196" i="24"/>
  <c r="I196" i="24" s="1"/>
  <c r="E198" i="24"/>
  <c r="I198" i="24" s="1"/>
  <c r="E200" i="24"/>
  <c r="I200" i="24" s="1"/>
  <c r="E202" i="24"/>
  <c r="I202" i="24" s="1"/>
  <c r="E204" i="24"/>
  <c r="I204" i="24" s="1"/>
  <c r="E206" i="24"/>
  <c r="I206" i="24" s="1"/>
  <c r="E208" i="24"/>
  <c r="I208" i="24" s="1"/>
  <c r="E210" i="24"/>
  <c r="I210" i="24" s="1"/>
  <c r="S212" i="24"/>
  <c r="F215" i="24"/>
  <c r="I215" i="24" s="1"/>
  <c r="G215" i="24"/>
  <c r="O216" i="24"/>
  <c r="S216" i="24" s="1"/>
  <c r="F219" i="24"/>
  <c r="I219" i="24" s="1"/>
  <c r="G219" i="24"/>
  <c r="O220" i="24"/>
  <c r="S220" i="24" s="1"/>
  <c r="H221" i="24"/>
  <c r="H223" i="24"/>
  <c r="F223" i="24"/>
  <c r="I223" i="24" s="1"/>
  <c r="G223" i="24"/>
  <c r="L257" i="24"/>
  <c r="O257" i="24" s="1"/>
  <c r="M257" i="24"/>
  <c r="N257" i="24"/>
  <c r="L261" i="24"/>
  <c r="O261" i="24" s="1"/>
  <c r="M261" i="24"/>
  <c r="N261" i="24"/>
  <c r="L265" i="24"/>
  <c r="M265" i="24"/>
  <c r="N265" i="24"/>
  <c r="S265" i="24" s="1"/>
  <c r="L269" i="24"/>
  <c r="M269" i="24"/>
  <c r="N269" i="24"/>
  <c r="S269" i="24" s="1"/>
  <c r="L273" i="24"/>
  <c r="M273" i="24"/>
  <c r="N273" i="24"/>
  <c r="S273" i="24" s="1"/>
  <c r="L277" i="24"/>
  <c r="O277" i="24" s="1"/>
  <c r="M277" i="24"/>
  <c r="N277" i="24"/>
  <c r="L281" i="24"/>
  <c r="O281" i="24" s="1"/>
  <c r="M281" i="24"/>
  <c r="N281" i="24"/>
  <c r="L285" i="24"/>
  <c r="M285" i="24"/>
  <c r="N285" i="24"/>
  <c r="S285" i="24" s="1"/>
  <c r="L289" i="24"/>
  <c r="O289" i="24" s="1"/>
  <c r="M289" i="24"/>
  <c r="N289" i="24"/>
  <c r="L293" i="24"/>
  <c r="M293" i="24"/>
  <c r="N293" i="24"/>
  <c r="S293" i="24" s="1"/>
  <c r="L297" i="24"/>
  <c r="M297" i="24"/>
  <c r="N297" i="24"/>
  <c r="S297" i="24" s="1"/>
  <c r="L301" i="24"/>
  <c r="O301" i="24" s="1"/>
  <c r="M301" i="24"/>
  <c r="N301" i="24"/>
  <c r="L305" i="24"/>
  <c r="M305" i="24"/>
  <c r="N305" i="24"/>
  <c r="S305" i="24" s="1"/>
  <c r="L309" i="24"/>
  <c r="O309" i="24" s="1"/>
  <c r="M309" i="24"/>
  <c r="N309" i="24"/>
  <c r="L313" i="24"/>
  <c r="O313" i="24" s="1"/>
  <c r="M313" i="24"/>
  <c r="N313" i="24"/>
  <c r="L317" i="24"/>
  <c r="O317" i="24" s="1"/>
  <c r="M317" i="24"/>
  <c r="N317" i="24"/>
  <c r="L321" i="24"/>
  <c r="O321" i="24" s="1"/>
  <c r="M321" i="24"/>
  <c r="N321" i="24"/>
  <c r="L325" i="24"/>
  <c r="M325" i="24"/>
  <c r="N325" i="24"/>
  <c r="S325" i="24" s="1"/>
  <c r="L329" i="24"/>
  <c r="O329" i="24" s="1"/>
  <c r="M329" i="24"/>
  <c r="N329" i="24"/>
  <c r="L333" i="24"/>
  <c r="O333" i="24" s="1"/>
  <c r="M333" i="24"/>
  <c r="N333" i="24"/>
  <c r="L337" i="24"/>
  <c r="O337" i="24" s="1"/>
  <c r="M337" i="24"/>
  <c r="N337" i="24"/>
  <c r="L341" i="24"/>
  <c r="M341" i="24"/>
  <c r="N341" i="24"/>
  <c r="S341" i="24" s="1"/>
  <c r="L345" i="24"/>
  <c r="O345" i="24" s="1"/>
  <c r="M345" i="24"/>
  <c r="N345" i="24"/>
  <c r="L349" i="24"/>
  <c r="O349" i="24" s="1"/>
  <c r="M349" i="24"/>
  <c r="N349" i="24"/>
  <c r="L353" i="24"/>
  <c r="O353" i="24" s="1"/>
  <c r="M353" i="24"/>
  <c r="N353" i="24"/>
  <c r="G356" i="24"/>
  <c r="E356" i="24"/>
  <c r="I356" i="24" s="1"/>
  <c r="F356" i="24"/>
  <c r="H356" i="24"/>
  <c r="G360" i="24"/>
  <c r="E360" i="24"/>
  <c r="I360" i="24" s="1"/>
  <c r="F360" i="24"/>
  <c r="H360" i="24"/>
  <c r="G364" i="24"/>
  <c r="E364" i="24"/>
  <c r="I364" i="24" s="1"/>
  <c r="F364" i="24"/>
  <c r="H364" i="24"/>
  <c r="F370" i="24"/>
  <c r="I370" i="24" s="1"/>
  <c r="G370" i="24"/>
  <c r="H370" i="24"/>
  <c r="F386" i="24"/>
  <c r="I386" i="24" s="1"/>
  <c r="G386" i="24"/>
  <c r="H386" i="24"/>
  <c r="F402" i="24"/>
  <c r="G402" i="24"/>
  <c r="H402" i="24"/>
  <c r="F418" i="24"/>
  <c r="I418" i="24" s="1"/>
  <c r="G418" i="24"/>
  <c r="H418" i="24"/>
  <c r="F213" i="24"/>
  <c r="G213" i="24"/>
  <c r="F217" i="24"/>
  <c r="G217" i="24"/>
  <c r="S218" i="24"/>
  <c r="S224" i="24"/>
  <c r="L259" i="24"/>
  <c r="M259" i="24"/>
  <c r="N259" i="24"/>
  <c r="L267" i="24"/>
  <c r="M267" i="24"/>
  <c r="N267" i="24"/>
  <c r="L275" i="24"/>
  <c r="M275" i="24"/>
  <c r="N275" i="24"/>
  <c r="L279" i="24"/>
  <c r="M279" i="24"/>
  <c r="N279" i="24"/>
  <c r="L287" i="24"/>
  <c r="M287" i="24"/>
  <c r="N287" i="24"/>
  <c r="L295" i="24"/>
  <c r="M295" i="24"/>
  <c r="N295" i="24"/>
  <c r="L299" i="24"/>
  <c r="M299" i="24"/>
  <c r="N299" i="24"/>
  <c r="L307" i="24"/>
  <c r="M307" i="24"/>
  <c r="N307" i="24"/>
  <c r="L315" i="24"/>
  <c r="M315" i="24"/>
  <c r="N315" i="24"/>
  <c r="L327" i="24"/>
  <c r="M327" i="24"/>
  <c r="N327" i="24"/>
  <c r="L335" i="24"/>
  <c r="M335" i="24"/>
  <c r="N335" i="24"/>
  <c r="L343" i="24"/>
  <c r="M343" i="24"/>
  <c r="N343" i="24"/>
  <c r="L351" i="24"/>
  <c r="M351" i="24"/>
  <c r="N351" i="24"/>
  <c r="G362" i="24"/>
  <c r="E362" i="24"/>
  <c r="F362" i="24"/>
  <c r="H362" i="24"/>
  <c r="F410" i="24"/>
  <c r="G410" i="24"/>
  <c r="H410" i="24"/>
  <c r="G434" i="24"/>
  <c r="F434" i="24"/>
  <c r="E434" i="24"/>
  <c r="H434" i="24"/>
  <c r="F212" i="24"/>
  <c r="G212" i="24"/>
  <c r="E213" i="24"/>
  <c r="I213" i="24" s="1"/>
  <c r="S213" i="24"/>
  <c r="F216" i="24"/>
  <c r="I216" i="24" s="1"/>
  <c r="G216" i="24"/>
  <c r="E217" i="24"/>
  <c r="I217" i="24" s="1"/>
  <c r="F220" i="24"/>
  <c r="I220" i="24" s="1"/>
  <c r="G220" i="24"/>
  <c r="E221" i="24"/>
  <c r="O221" i="24"/>
  <c r="S221" i="24" s="1"/>
  <c r="L223" i="24"/>
  <c r="K223" i="24"/>
  <c r="O223" i="24" s="1"/>
  <c r="S223" i="24" s="1"/>
  <c r="M223" i="24"/>
  <c r="I224" i="24"/>
  <c r="L227" i="24"/>
  <c r="K227" i="24"/>
  <c r="O227" i="24" s="1"/>
  <c r="S227" i="24" s="1"/>
  <c r="M227" i="24"/>
  <c r="I228" i="24"/>
  <c r="L231" i="24"/>
  <c r="K231" i="24"/>
  <c r="O231" i="24" s="1"/>
  <c r="S231" i="24" s="1"/>
  <c r="M231" i="24"/>
  <c r="L235" i="24"/>
  <c r="K235" i="24"/>
  <c r="O235" i="24" s="1"/>
  <c r="S235" i="24" s="1"/>
  <c r="M235" i="24"/>
  <c r="I236" i="24"/>
  <c r="L239" i="24"/>
  <c r="K239" i="24"/>
  <c r="O239" i="24" s="1"/>
  <c r="S239" i="24" s="1"/>
  <c r="M239" i="24"/>
  <c r="L243" i="24"/>
  <c r="K243" i="24"/>
  <c r="O243" i="24" s="1"/>
  <c r="S243" i="24" s="1"/>
  <c r="M243" i="24"/>
  <c r="I244" i="24"/>
  <c r="L247" i="24"/>
  <c r="K247" i="24"/>
  <c r="M247" i="24"/>
  <c r="L251" i="24"/>
  <c r="K251" i="24"/>
  <c r="O251" i="24" s="1"/>
  <c r="S251" i="24" s="1"/>
  <c r="M251" i="24"/>
  <c r="I252" i="24"/>
  <c r="L255" i="24"/>
  <c r="K255" i="24"/>
  <c r="O255" i="24" s="1"/>
  <c r="S255" i="24" s="1"/>
  <c r="M255" i="24"/>
  <c r="I256" i="24"/>
  <c r="K259" i="24"/>
  <c r="O259" i="24" s="1"/>
  <c r="L260" i="24"/>
  <c r="O260" i="24" s="1"/>
  <c r="M260" i="24"/>
  <c r="N260" i="24"/>
  <c r="K263" i="24"/>
  <c r="O263" i="24" s="1"/>
  <c r="L264" i="24"/>
  <c r="O264" i="24" s="1"/>
  <c r="M264" i="24"/>
  <c r="N264" i="24"/>
  <c r="K267" i="24"/>
  <c r="L268" i="24"/>
  <c r="O268" i="24" s="1"/>
  <c r="M268" i="24"/>
  <c r="N268" i="24"/>
  <c r="K271" i="24"/>
  <c r="L272" i="24"/>
  <c r="O272" i="24" s="1"/>
  <c r="M272" i="24"/>
  <c r="N272" i="24"/>
  <c r="K275" i="24"/>
  <c r="L276" i="24"/>
  <c r="O276" i="24" s="1"/>
  <c r="M276" i="24"/>
  <c r="N276" i="24"/>
  <c r="K279" i="24"/>
  <c r="L280" i="24"/>
  <c r="O280" i="24" s="1"/>
  <c r="M280" i="24"/>
  <c r="N280" i="24"/>
  <c r="K283" i="24"/>
  <c r="O283" i="24" s="1"/>
  <c r="L284" i="24"/>
  <c r="O284" i="24" s="1"/>
  <c r="M284" i="24"/>
  <c r="N284" i="24"/>
  <c r="K287" i="24"/>
  <c r="O287" i="24" s="1"/>
  <c r="L288" i="24"/>
  <c r="O288" i="24" s="1"/>
  <c r="M288" i="24"/>
  <c r="N288" i="24"/>
  <c r="K291" i="24"/>
  <c r="O291" i="24" s="1"/>
  <c r="L292" i="24"/>
  <c r="O292" i="24" s="1"/>
  <c r="M292" i="24"/>
  <c r="N292" i="24"/>
  <c r="K295" i="24"/>
  <c r="L296" i="24"/>
  <c r="M296" i="24"/>
  <c r="N296" i="24"/>
  <c r="S296" i="24" s="1"/>
  <c r="K299" i="24"/>
  <c r="O299" i="24" s="1"/>
  <c r="L300" i="24"/>
  <c r="O300" i="24" s="1"/>
  <c r="M300" i="24"/>
  <c r="N300" i="24"/>
  <c r="K303" i="24"/>
  <c r="O303" i="24" s="1"/>
  <c r="L304" i="24"/>
  <c r="M304" i="24"/>
  <c r="N304" i="24"/>
  <c r="S304" i="24" s="1"/>
  <c r="K307" i="24"/>
  <c r="O307" i="24" s="1"/>
  <c r="L308" i="24"/>
  <c r="O308" i="24" s="1"/>
  <c r="M308" i="24"/>
  <c r="N308" i="24"/>
  <c r="K311" i="24"/>
  <c r="L312" i="24"/>
  <c r="M312" i="24"/>
  <c r="N312" i="24"/>
  <c r="S312" i="24" s="1"/>
  <c r="K315" i="24"/>
  <c r="O315" i="24" s="1"/>
  <c r="L316" i="24"/>
  <c r="O316" i="24" s="1"/>
  <c r="M316" i="24"/>
  <c r="N316" i="24"/>
  <c r="K319" i="24"/>
  <c r="O319" i="24" s="1"/>
  <c r="L320" i="24"/>
  <c r="O320" i="24" s="1"/>
  <c r="M320" i="24"/>
  <c r="N320" i="24"/>
  <c r="K323" i="24"/>
  <c r="O323" i="24" s="1"/>
  <c r="L324" i="24"/>
  <c r="O324" i="24" s="1"/>
  <c r="M324" i="24"/>
  <c r="N324" i="24"/>
  <c r="K327" i="24"/>
  <c r="L328" i="24"/>
  <c r="M328" i="24"/>
  <c r="N328" i="24"/>
  <c r="S328" i="24" s="1"/>
  <c r="K331" i="24"/>
  <c r="O331" i="24" s="1"/>
  <c r="L332" i="24"/>
  <c r="O332" i="24" s="1"/>
  <c r="M332" i="24"/>
  <c r="N332" i="24"/>
  <c r="K335" i="24"/>
  <c r="L336" i="24"/>
  <c r="M336" i="24"/>
  <c r="N336" i="24"/>
  <c r="S336" i="24" s="1"/>
  <c r="K339" i="24"/>
  <c r="L340" i="24"/>
  <c r="O340" i="24" s="1"/>
  <c r="M340" i="24"/>
  <c r="N340" i="24"/>
  <c r="K343" i="24"/>
  <c r="L344" i="24"/>
  <c r="O344" i="24" s="1"/>
  <c r="M344" i="24"/>
  <c r="N344" i="24"/>
  <c r="K347" i="24"/>
  <c r="O347" i="24" s="1"/>
  <c r="L348" i="24"/>
  <c r="M348" i="24"/>
  <c r="N348" i="24"/>
  <c r="S348" i="24" s="1"/>
  <c r="K351" i="24"/>
  <c r="O351" i="24" s="1"/>
  <c r="L352" i="24"/>
  <c r="O352" i="24" s="1"/>
  <c r="M352" i="24"/>
  <c r="N352" i="24"/>
  <c r="F374" i="24"/>
  <c r="I374" i="24" s="1"/>
  <c r="G374" i="24"/>
  <c r="H374" i="24"/>
  <c r="E378" i="24"/>
  <c r="I378" i="24" s="1"/>
  <c r="F390" i="24"/>
  <c r="I390" i="24" s="1"/>
  <c r="G390" i="24"/>
  <c r="H390" i="24"/>
  <c r="E394" i="24"/>
  <c r="I394" i="24" s="1"/>
  <c r="F406" i="24"/>
  <c r="I406" i="24" s="1"/>
  <c r="G406" i="24"/>
  <c r="H406" i="24"/>
  <c r="E410" i="24"/>
  <c r="F422" i="24"/>
  <c r="G422" i="24"/>
  <c r="H422" i="24"/>
  <c r="K430" i="24"/>
  <c r="O430" i="24" s="1"/>
  <c r="L430" i="24"/>
  <c r="M430" i="24"/>
  <c r="N430" i="24"/>
  <c r="G355" i="24"/>
  <c r="E355" i="24"/>
  <c r="F355" i="24"/>
  <c r="G357" i="24"/>
  <c r="E357" i="24"/>
  <c r="I357" i="24" s="1"/>
  <c r="F357" i="24"/>
  <c r="G359" i="24"/>
  <c r="E359" i="24"/>
  <c r="F359" i="24"/>
  <c r="G361" i="24"/>
  <c r="E361" i="24"/>
  <c r="F361" i="24"/>
  <c r="G363" i="24"/>
  <c r="E363" i="24"/>
  <c r="F363" i="24"/>
  <c r="G365" i="24"/>
  <c r="E365" i="24"/>
  <c r="I365" i="24" s="1"/>
  <c r="F365" i="24"/>
  <c r="I368" i="24"/>
  <c r="K432" i="24"/>
  <c r="O432" i="24" s="1"/>
  <c r="S432" i="24" s="1"/>
  <c r="L432" i="24"/>
  <c r="M432" i="24"/>
  <c r="N432" i="24"/>
  <c r="N224" i="24"/>
  <c r="N226" i="24"/>
  <c r="N228" i="24"/>
  <c r="S228" i="24" s="1"/>
  <c r="N230" i="24"/>
  <c r="S230" i="24" s="1"/>
  <c r="N232" i="24"/>
  <c r="S232" i="24" s="1"/>
  <c r="N234" i="24"/>
  <c r="S234" i="24" s="1"/>
  <c r="N236" i="24"/>
  <c r="S236" i="24" s="1"/>
  <c r="N238" i="24"/>
  <c r="S238" i="24" s="1"/>
  <c r="N240" i="24"/>
  <c r="S240" i="24" s="1"/>
  <c r="N242" i="24"/>
  <c r="S242" i="24" s="1"/>
  <c r="N244" i="24"/>
  <c r="S244" i="24" s="1"/>
  <c r="N246" i="24"/>
  <c r="S246" i="24" s="1"/>
  <c r="N248" i="24"/>
  <c r="S248" i="24" s="1"/>
  <c r="N250" i="24"/>
  <c r="S250" i="24" s="1"/>
  <c r="N252" i="24"/>
  <c r="S252" i="24" s="1"/>
  <c r="N254" i="24"/>
  <c r="S254" i="24" s="1"/>
  <c r="N256" i="24"/>
  <c r="S256" i="24" s="1"/>
  <c r="S354" i="24"/>
  <c r="S356" i="24"/>
  <c r="S358" i="24"/>
  <c r="S362" i="24"/>
  <c r="F368" i="24"/>
  <c r="G368" i="24"/>
  <c r="H368" i="24"/>
  <c r="F372" i="24"/>
  <c r="I372" i="24" s="1"/>
  <c r="G372" i="24"/>
  <c r="H372" i="24"/>
  <c r="F376" i="24"/>
  <c r="I376" i="24" s="1"/>
  <c r="G376" i="24"/>
  <c r="H376" i="24"/>
  <c r="F380" i="24"/>
  <c r="I380" i="24" s="1"/>
  <c r="G380" i="24"/>
  <c r="H380" i="24"/>
  <c r="F384" i="24"/>
  <c r="I384" i="24" s="1"/>
  <c r="G384" i="24"/>
  <c r="H384" i="24"/>
  <c r="F388" i="24"/>
  <c r="I388" i="24" s="1"/>
  <c r="G388" i="24"/>
  <c r="H388" i="24"/>
  <c r="F392" i="24"/>
  <c r="I392" i="24" s="1"/>
  <c r="G392" i="24"/>
  <c r="H392" i="24"/>
  <c r="F396" i="24"/>
  <c r="I396" i="24" s="1"/>
  <c r="G396" i="24"/>
  <c r="H396" i="24"/>
  <c r="F400" i="24"/>
  <c r="I400" i="24" s="1"/>
  <c r="G400" i="24"/>
  <c r="H400" i="24"/>
  <c r="F404" i="24"/>
  <c r="G404" i="24"/>
  <c r="H404" i="24"/>
  <c r="F408" i="24"/>
  <c r="I408" i="24" s="1"/>
  <c r="G408" i="24"/>
  <c r="H408" i="24"/>
  <c r="F412" i="24"/>
  <c r="I412" i="24" s="1"/>
  <c r="G412" i="24"/>
  <c r="H412" i="24"/>
  <c r="F416" i="24"/>
  <c r="I416" i="24" s="1"/>
  <c r="G416" i="24"/>
  <c r="H416" i="24"/>
  <c r="F420" i="24"/>
  <c r="I420" i="24" s="1"/>
  <c r="G420" i="24"/>
  <c r="H420" i="24"/>
  <c r="L424" i="24"/>
  <c r="M424" i="24"/>
  <c r="N424" i="24"/>
  <c r="S424" i="24" s="1"/>
  <c r="G436" i="24"/>
  <c r="E436" i="24"/>
  <c r="I436" i="24" s="1"/>
  <c r="F436" i="24"/>
  <c r="G437" i="24"/>
  <c r="E437" i="24"/>
  <c r="F437" i="24"/>
  <c r="H437" i="24"/>
  <c r="G440" i="24"/>
  <c r="E440" i="24"/>
  <c r="F440" i="24"/>
  <c r="G441" i="24"/>
  <c r="E441" i="24"/>
  <c r="F441" i="24"/>
  <c r="H441" i="24"/>
  <c r="G444" i="24"/>
  <c r="E444" i="24"/>
  <c r="F444" i="24"/>
  <c r="G445" i="24"/>
  <c r="E445" i="24"/>
  <c r="F445" i="24"/>
  <c r="H445" i="24"/>
  <c r="L466" i="24"/>
  <c r="K466" i="24"/>
  <c r="O466" i="24" s="1"/>
  <c r="M466" i="24"/>
  <c r="N466" i="24"/>
  <c r="S466" i="24" s="1"/>
  <c r="L474" i="24"/>
  <c r="K474" i="24"/>
  <c r="O474" i="24" s="1"/>
  <c r="M474" i="24"/>
  <c r="N474" i="24"/>
  <c r="S375" i="24"/>
  <c r="S391" i="24"/>
  <c r="S407" i="24"/>
  <c r="S423" i="24"/>
  <c r="I426" i="24"/>
  <c r="G430" i="24"/>
  <c r="F430" i="24"/>
  <c r="E430" i="24"/>
  <c r="H430" i="24"/>
  <c r="K434" i="24"/>
  <c r="L434" i="24"/>
  <c r="M434" i="24"/>
  <c r="N434" i="24"/>
  <c r="S440" i="24"/>
  <c r="L458" i="24"/>
  <c r="K458" i="24"/>
  <c r="M458" i="24"/>
  <c r="N458" i="24"/>
  <c r="L490" i="24"/>
  <c r="K490" i="24"/>
  <c r="O490" i="24" s="1"/>
  <c r="M490" i="24"/>
  <c r="N490" i="24"/>
  <c r="O359" i="24"/>
  <c r="S359" i="24" s="1"/>
  <c r="O360" i="24"/>
  <c r="S360" i="24" s="1"/>
  <c r="O361" i="24"/>
  <c r="S361" i="24" s="1"/>
  <c r="O364" i="24"/>
  <c r="S364" i="24" s="1"/>
  <c r="N365" i="24"/>
  <c r="K365" i="24"/>
  <c r="O365" i="24" s="1"/>
  <c r="S365" i="24" s="1"/>
  <c r="F367" i="24"/>
  <c r="G367" i="24"/>
  <c r="F369" i="24"/>
  <c r="I369" i="24" s="1"/>
  <c r="G369" i="24"/>
  <c r="F371" i="24"/>
  <c r="I371" i="24" s="1"/>
  <c r="G371" i="24"/>
  <c r="F373" i="24"/>
  <c r="I373" i="24" s="1"/>
  <c r="G373" i="24"/>
  <c r="F375" i="24"/>
  <c r="G375" i="24"/>
  <c r="F377" i="24"/>
  <c r="I377" i="24" s="1"/>
  <c r="G377" i="24"/>
  <c r="F379" i="24"/>
  <c r="G379" i="24"/>
  <c r="F381" i="24"/>
  <c r="G381" i="24"/>
  <c r="F383" i="24"/>
  <c r="G383" i="24"/>
  <c r="F385" i="24"/>
  <c r="G385" i="24"/>
  <c r="F387" i="24"/>
  <c r="I387" i="24" s="1"/>
  <c r="G387" i="24"/>
  <c r="F389" i="24"/>
  <c r="G389" i="24"/>
  <c r="F391" i="24"/>
  <c r="G391" i="24"/>
  <c r="F393" i="24"/>
  <c r="G393" i="24"/>
  <c r="F395" i="24"/>
  <c r="G395" i="24"/>
  <c r="F397" i="24"/>
  <c r="G397" i="24"/>
  <c r="F399" i="24"/>
  <c r="G399" i="24"/>
  <c r="F401" i="24"/>
  <c r="G401" i="24"/>
  <c r="F403" i="24"/>
  <c r="G403" i="24"/>
  <c r="F405" i="24"/>
  <c r="G405" i="24"/>
  <c r="F407" i="24"/>
  <c r="I407" i="24" s="1"/>
  <c r="G407" i="24"/>
  <c r="F409" i="24"/>
  <c r="I409" i="24" s="1"/>
  <c r="G409" i="24"/>
  <c r="F411" i="24"/>
  <c r="G411" i="24"/>
  <c r="F413" i="24"/>
  <c r="G413" i="24"/>
  <c r="F415" i="24"/>
  <c r="G415" i="24"/>
  <c r="F417" i="24"/>
  <c r="G417" i="24"/>
  <c r="F419" i="24"/>
  <c r="G419" i="24"/>
  <c r="F421" i="24"/>
  <c r="I421" i="24" s="1"/>
  <c r="G421" i="24"/>
  <c r="F423" i="24"/>
  <c r="G423" i="24"/>
  <c r="L426" i="24"/>
  <c r="O426" i="24" s="1"/>
  <c r="S426" i="24" s="1"/>
  <c r="M426" i="24"/>
  <c r="N426" i="24"/>
  <c r="K428" i="24"/>
  <c r="L428" i="24"/>
  <c r="M428" i="24"/>
  <c r="N428" i="24"/>
  <c r="G432" i="24"/>
  <c r="F432" i="24"/>
  <c r="E432" i="24"/>
  <c r="H432" i="24"/>
  <c r="G447" i="24"/>
  <c r="E447" i="24"/>
  <c r="F447" i="24"/>
  <c r="H447" i="24"/>
  <c r="G451" i="24"/>
  <c r="E451" i="24"/>
  <c r="F451" i="24"/>
  <c r="H451" i="24"/>
  <c r="L482" i="24"/>
  <c r="K482" i="24"/>
  <c r="O482" i="24" s="1"/>
  <c r="M482" i="24"/>
  <c r="N482" i="24"/>
  <c r="K366" i="24"/>
  <c r="O366" i="24" s="1"/>
  <c r="S366" i="24" s="1"/>
  <c r="K367" i="24"/>
  <c r="O367" i="24" s="1"/>
  <c r="S367" i="24" s="1"/>
  <c r="K368" i="24"/>
  <c r="O368" i="24" s="1"/>
  <c r="S368" i="24" s="1"/>
  <c r="K369" i="24"/>
  <c r="O369" i="24" s="1"/>
  <c r="S369" i="24" s="1"/>
  <c r="K370" i="24"/>
  <c r="O370" i="24" s="1"/>
  <c r="S370" i="24" s="1"/>
  <c r="K371" i="24"/>
  <c r="O371" i="24" s="1"/>
  <c r="S371" i="24" s="1"/>
  <c r="K372" i="24"/>
  <c r="O372" i="24" s="1"/>
  <c r="S372" i="24" s="1"/>
  <c r="K373" i="24"/>
  <c r="O373" i="24" s="1"/>
  <c r="S373" i="24" s="1"/>
  <c r="K374" i="24"/>
  <c r="O374" i="24" s="1"/>
  <c r="S374" i="24" s="1"/>
  <c r="K375" i="24"/>
  <c r="O375" i="24" s="1"/>
  <c r="K376" i="24"/>
  <c r="O376" i="24" s="1"/>
  <c r="S376" i="24" s="1"/>
  <c r="K377" i="24"/>
  <c r="O377" i="24" s="1"/>
  <c r="S377" i="24" s="1"/>
  <c r="K378" i="24"/>
  <c r="O378" i="24" s="1"/>
  <c r="S378" i="24" s="1"/>
  <c r="K379" i="24"/>
  <c r="O379" i="24" s="1"/>
  <c r="S379" i="24" s="1"/>
  <c r="K380" i="24"/>
  <c r="O380" i="24" s="1"/>
  <c r="S380" i="24" s="1"/>
  <c r="K381" i="24"/>
  <c r="O381" i="24" s="1"/>
  <c r="S381" i="24" s="1"/>
  <c r="K382" i="24"/>
  <c r="O382" i="24" s="1"/>
  <c r="S382" i="24" s="1"/>
  <c r="K383" i="24"/>
  <c r="O383" i="24" s="1"/>
  <c r="S383" i="24" s="1"/>
  <c r="K384" i="24"/>
  <c r="O384" i="24" s="1"/>
  <c r="S384" i="24" s="1"/>
  <c r="K385" i="24"/>
  <c r="O385" i="24" s="1"/>
  <c r="S385" i="24" s="1"/>
  <c r="K386" i="24"/>
  <c r="O386" i="24" s="1"/>
  <c r="S386" i="24" s="1"/>
  <c r="K387" i="24"/>
  <c r="O387" i="24" s="1"/>
  <c r="S387" i="24" s="1"/>
  <c r="K388" i="24"/>
  <c r="O388" i="24" s="1"/>
  <c r="S388" i="24" s="1"/>
  <c r="K389" i="24"/>
  <c r="O389" i="24" s="1"/>
  <c r="S389" i="24" s="1"/>
  <c r="K390" i="24"/>
  <c r="O390" i="24" s="1"/>
  <c r="S390" i="24" s="1"/>
  <c r="K391" i="24"/>
  <c r="O391" i="24" s="1"/>
  <c r="K392" i="24"/>
  <c r="O392" i="24" s="1"/>
  <c r="S392" i="24" s="1"/>
  <c r="K393" i="24"/>
  <c r="O393" i="24" s="1"/>
  <c r="S393" i="24" s="1"/>
  <c r="K394" i="24"/>
  <c r="O394" i="24" s="1"/>
  <c r="S394" i="24" s="1"/>
  <c r="K395" i="24"/>
  <c r="O395" i="24" s="1"/>
  <c r="S395" i="24" s="1"/>
  <c r="K396" i="24"/>
  <c r="O396" i="24" s="1"/>
  <c r="S396" i="24" s="1"/>
  <c r="K397" i="24"/>
  <c r="O397" i="24" s="1"/>
  <c r="S397" i="24" s="1"/>
  <c r="K398" i="24"/>
  <c r="O398" i="24" s="1"/>
  <c r="S398" i="24" s="1"/>
  <c r="K399" i="24"/>
  <c r="O399" i="24" s="1"/>
  <c r="S399" i="24" s="1"/>
  <c r="K400" i="24"/>
  <c r="O400" i="24" s="1"/>
  <c r="S400" i="24" s="1"/>
  <c r="K401" i="24"/>
  <c r="O401" i="24" s="1"/>
  <c r="S401" i="24" s="1"/>
  <c r="K402" i="24"/>
  <c r="O402" i="24" s="1"/>
  <c r="S402" i="24" s="1"/>
  <c r="K403" i="24"/>
  <c r="O403" i="24" s="1"/>
  <c r="S403" i="24" s="1"/>
  <c r="K404" i="24"/>
  <c r="O404" i="24" s="1"/>
  <c r="S404" i="24" s="1"/>
  <c r="K405" i="24"/>
  <c r="O405" i="24" s="1"/>
  <c r="S405" i="24" s="1"/>
  <c r="K406" i="24"/>
  <c r="O406" i="24" s="1"/>
  <c r="S406" i="24" s="1"/>
  <c r="K407" i="24"/>
  <c r="O407" i="24" s="1"/>
  <c r="K408" i="24"/>
  <c r="O408" i="24" s="1"/>
  <c r="S408" i="24" s="1"/>
  <c r="K409" i="24"/>
  <c r="O409" i="24" s="1"/>
  <c r="S409" i="24" s="1"/>
  <c r="K410" i="24"/>
  <c r="O410" i="24" s="1"/>
  <c r="S410" i="24" s="1"/>
  <c r="K411" i="24"/>
  <c r="O411" i="24" s="1"/>
  <c r="S411" i="24" s="1"/>
  <c r="K412" i="24"/>
  <c r="O412" i="24" s="1"/>
  <c r="S412" i="24" s="1"/>
  <c r="K413" i="24"/>
  <c r="O413" i="24" s="1"/>
  <c r="S413" i="24" s="1"/>
  <c r="K414" i="24"/>
  <c r="O414" i="24" s="1"/>
  <c r="S414" i="24" s="1"/>
  <c r="K415" i="24"/>
  <c r="O415" i="24" s="1"/>
  <c r="S415" i="24" s="1"/>
  <c r="K416" i="24"/>
  <c r="O416" i="24" s="1"/>
  <c r="S416" i="24" s="1"/>
  <c r="K417" i="24"/>
  <c r="O417" i="24" s="1"/>
  <c r="S417" i="24" s="1"/>
  <c r="K418" i="24"/>
  <c r="O418" i="24" s="1"/>
  <c r="S418" i="24" s="1"/>
  <c r="K419" i="24"/>
  <c r="O419" i="24" s="1"/>
  <c r="S419" i="24" s="1"/>
  <c r="K420" i="24"/>
  <c r="O420" i="24" s="1"/>
  <c r="S420" i="24" s="1"/>
  <c r="K421" i="24"/>
  <c r="O421" i="24" s="1"/>
  <c r="S421" i="24" s="1"/>
  <c r="K422" i="24"/>
  <c r="O422" i="24" s="1"/>
  <c r="S422" i="24" s="1"/>
  <c r="K423" i="24"/>
  <c r="O423" i="24" s="1"/>
  <c r="K425" i="24"/>
  <c r="O425" i="24" s="1"/>
  <c r="S425" i="24" s="1"/>
  <c r="G427" i="24"/>
  <c r="F427" i="24"/>
  <c r="I427" i="24" s="1"/>
  <c r="K427" i="24"/>
  <c r="O427" i="24" s="1"/>
  <c r="S427" i="24" s="1"/>
  <c r="L427" i="24"/>
  <c r="G429" i="24"/>
  <c r="F429" i="24"/>
  <c r="I429" i="24" s="1"/>
  <c r="K429" i="24"/>
  <c r="L429" i="24"/>
  <c r="G431" i="24"/>
  <c r="F431" i="24"/>
  <c r="I431" i="24" s="1"/>
  <c r="K431" i="24"/>
  <c r="L431" i="24"/>
  <c r="G433" i="24"/>
  <c r="F433" i="24"/>
  <c r="I433" i="24" s="1"/>
  <c r="K433" i="24"/>
  <c r="O433" i="24" s="1"/>
  <c r="S433" i="24" s="1"/>
  <c r="L433" i="24"/>
  <c r="G435" i="24"/>
  <c r="E435" i="24"/>
  <c r="I435" i="24" s="1"/>
  <c r="F435" i="24"/>
  <c r="S435" i="24"/>
  <c r="G439" i="24"/>
  <c r="E439" i="24"/>
  <c r="I439" i="24" s="1"/>
  <c r="F439" i="24"/>
  <c r="G443" i="24"/>
  <c r="E443" i="24"/>
  <c r="F443" i="24"/>
  <c r="S443" i="24"/>
  <c r="G446" i="24"/>
  <c r="E446" i="24"/>
  <c r="F446" i="24"/>
  <c r="G448" i="24"/>
  <c r="E448" i="24"/>
  <c r="F448" i="24"/>
  <c r="G450" i="24"/>
  <c r="E450" i="24"/>
  <c r="F450" i="24"/>
  <c r="G452" i="24"/>
  <c r="E452" i="24"/>
  <c r="F452" i="24"/>
  <c r="L457" i="24"/>
  <c r="N457" i="24"/>
  <c r="S457" i="24" s="1"/>
  <c r="M457" i="24"/>
  <c r="L459" i="24"/>
  <c r="N459" i="24"/>
  <c r="K459" i="24"/>
  <c r="M459" i="24"/>
  <c r="I462" i="24"/>
  <c r="L465" i="24"/>
  <c r="N465" i="24"/>
  <c r="S465" i="24" s="1"/>
  <c r="M465" i="24"/>
  <c r="L467" i="24"/>
  <c r="N467" i="24"/>
  <c r="K467" i="24"/>
  <c r="M467" i="24"/>
  <c r="L473" i="24"/>
  <c r="O473" i="24" s="1"/>
  <c r="N473" i="24"/>
  <c r="M473" i="24"/>
  <c r="L475" i="24"/>
  <c r="N475" i="24"/>
  <c r="K475" i="24"/>
  <c r="M475" i="24"/>
  <c r="S478" i="24"/>
  <c r="L481" i="24"/>
  <c r="O481" i="24" s="1"/>
  <c r="S481" i="24" s="1"/>
  <c r="N481" i="24"/>
  <c r="M481" i="24"/>
  <c r="L483" i="24"/>
  <c r="N483" i="24"/>
  <c r="K483" i="24"/>
  <c r="M483" i="24"/>
  <c r="L489" i="24"/>
  <c r="O489" i="24" s="1"/>
  <c r="S489" i="24" s="1"/>
  <c r="N489" i="24"/>
  <c r="M489" i="24"/>
  <c r="L491" i="24"/>
  <c r="N491" i="24"/>
  <c r="K491" i="24"/>
  <c r="M491" i="24"/>
  <c r="G438" i="24"/>
  <c r="E438" i="24"/>
  <c r="F438" i="24"/>
  <c r="G442" i="24"/>
  <c r="E442" i="24"/>
  <c r="F442" i="24"/>
  <c r="L456" i="24"/>
  <c r="K456" i="24"/>
  <c r="O456" i="24" s="1"/>
  <c r="N456" i="24"/>
  <c r="S456" i="24" s="1"/>
  <c r="L464" i="24"/>
  <c r="K464" i="24"/>
  <c r="N464" i="24"/>
  <c r="L472" i="24"/>
  <c r="K472" i="24"/>
  <c r="O472" i="24" s="1"/>
  <c r="N472" i="24"/>
  <c r="S472" i="24" s="1"/>
  <c r="L480" i="24"/>
  <c r="K480" i="24"/>
  <c r="O480" i="24" s="1"/>
  <c r="N480" i="24"/>
  <c r="L488" i="24"/>
  <c r="K488" i="24"/>
  <c r="O488" i="24" s="1"/>
  <c r="N488" i="24"/>
  <c r="S488" i="24" s="1"/>
  <c r="L435" i="24"/>
  <c r="L436" i="24"/>
  <c r="L437" i="24"/>
  <c r="O437" i="24" s="1"/>
  <c r="S437" i="24" s="1"/>
  <c r="L438" i="24"/>
  <c r="O438" i="24" s="1"/>
  <c r="S438" i="24" s="1"/>
  <c r="L439" i="24"/>
  <c r="O439" i="24" s="1"/>
  <c r="S439" i="24" s="1"/>
  <c r="L440" i="24"/>
  <c r="L441" i="24"/>
  <c r="L442" i="24"/>
  <c r="L443" i="24"/>
  <c r="L444" i="24"/>
  <c r="I453" i="24"/>
  <c r="L454" i="24"/>
  <c r="K454" i="24"/>
  <c r="O454" i="24" s="1"/>
  <c r="S454" i="24" s="1"/>
  <c r="L455" i="24"/>
  <c r="O455" i="24" s="1"/>
  <c r="N455" i="24"/>
  <c r="I461" i="24"/>
  <c r="L462" i="24"/>
  <c r="K462" i="24"/>
  <c r="L463" i="24"/>
  <c r="O463" i="24" s="1"/>
  <c r="N463" i="24"/>
  <c r="I469" i="24"/>
  <c r="L470" i="24"/>
  <c r="K470" i="24"/>
  <c r="L471" i="24"/>
  <c r="N471" i="24"/>
  <c r="S471" i="24" s="1"/>
  <c r="I477" i="24"/>
  <c r="L478" i="24"/>
  <c r="K478" i="24"/>
  <c r="O478" i="24" s="1"/>
  <c r="L479" i="24"/>
  <c r="O479" i="24" s="1"/>
  <c r="N479" i="24"/>
  <c r="I485" i="24"/>
  <c r="L486" i="24"/>
  <c r="K486" i="24"/>
  <c r="O486" i="24" s="1"/>
  <c r="S486" i="24" s="1"/>
  <c r="L487" i="24"/>
  <c r="N487" i="24"/>
  <c r="S487" i="24" s="1"/>
  <c r="I493" i="24"/>
  <c r="O436" i="24"/>
  <c r="S436" i="24" s="1"/>
  <c r="O441" i="24"/>
  <c r="S441" i="24" s="1"/>
  <c r="O444" i="24"/>
  <c r="S444" i="24" s="1"/>
  <c r="O445" i="24"/>
  <c r="S445" i="24" s="1"/>
  <c r="O446" i="24"/>
  <c r="S446" i="24" s="1"/>
  <c r="O447" i="24"/>
  <c r="S447" i="24" s="1"/>
  <c r="O448" i="24"/>
  <c r="S448" i="24" s="1"/>
  <c r="O449" i="24"/>
  <c r="S449" i="24" s="1"/>
  <c r="O451" i="24"/>
  <c r="S451" i="24" s="1"/>
  <c r="L452" i="24"/>
  <c r="K452" i="24"/>
  <c r="L453" i="24"/>
  <c r="N453" i="24"/>
  <c r="S453" i="24" s="1"/>
  <c r="I459" i="24"/>
  <c r="L460" i="24"/>
  <c r="K460" i="24"/>
  <c r="O460" i="24" s="1"/>
  <c r="S460" i="24" s="1"/>
  <c r="L461" i="24"/>
  <c r="O461" i="24" s="1"/>
  <c r="N461" i="24"/>
  <c r="S461" i="24" s="1"/>
  <c r="I467" i="24"/>
  <c r="L468" i="24"/>
  <c r="K468" i="24"/>
  <c r="L469" i="24"/>
  <c r="O469" i="24" s="1"/>
  <c r="N469" i="24"/>
  <c r="I475" i="24"/>
  <c r="L476" i="24"/>
  <c r="K476" i="24"/>
  <c r="O476" i="24" s="1"/>
  <c r="S476" i="24" s="1"/>
  <c r="L477" i="24"/>
  <c r="O477" i="24" s="1"/>
  <c r="N477" i="24"/>
  <c r="I483" i="24"/>
  <c r="L484" i="24"/>
  <c r="K484" i="24"/>
  <c r="O484" i="24" s="1"/>
  <c r="S484" i="24" s="1"/>
  <c r="L485" i="24"/>
  <c r="N485" i="24"/>
  <c r="S485" i="24" s="1"/>
  <c r="I491" i="24"/>
  <c r="L492" i="24"/>
  <c r="K492" i="24"/>
  <c r="O492" i="24" s="1"/>
  <c r="S492" i="24" s="1"/>
  <c r="N493" i="24"/>
  <c r="S493" i="24" s="1"/>
  <c r="K25" i="42"/>
  <c r="L25" i="42" s="1"/>
  <c r="O25" i="42"/>
  <c r="I21" i="40"/>
  <c r="I21" i="39"/>
  <c r="O21" i="39" s="1"/>
  <c r="K15" i="37"/>
  <c r="L15" i="37" s="1"/>
  <c r="I34" i="37"/>
  <c r="K9" i="36"/>
  <c r="K25" i="41"/>
  <c r="L25" i="41" s="1"/>
  <c r="O25" i="41"/>
  <c r="I22" i="41"/>
  <c r="P21" i="41"/>
  <c r="O21" i="41"/>
  <c r="K21" i="41"/>
  <c r="K9" i="41"/>
  <c r="P9" i="41"/>
  <c r="I22" i="42"/>
  <c r="P21" i="42"/>
  <c r="O21" i="42"/>
  <c r="K21" i="42"/>
  <c r="L15" i="42"/>
  <c r="N15" i="42" s="1"/>
  <c r="K9" i="42"/>
  <c r="P9" i="42"/>
  <c r="M15" i="42"/>
  <c r="I33" i="42"/>
  <c r="K15" i="40"/>
  <c r="O15" i="40"/>
  <c r="O10" i="40"/>
  <c r="P25" i="40"/>
  <c r="I34" i="40"/>
  <c r="K21" i="40"/>
  <c r="K25" i="40"/>
  <c r="K9" i="40"/>
  <c r="O34" i="39"/>
  <c r="I22" i="39"/>
  <c r="K15" i="39"/>
  <c r="O10" i="39"/>
  <c r="P15" i="39"/>
  <c r="P21" i="39"/>
  <c r="P25" i="39"/>
  <c r="K34" i="39"/>
  <c r="L34" i="39" s="1"/>
  <c r="K21" i="39"/>
  <c r="K25" i="39"/>
  <c r="K9" i="39"/>
  <c r="I33" i="39"/>
  <c r="O25" i="37"/>
  <c r="K25" i="37"/>
  <c r="P25" i="37"/>
  <c r="K18" i="37"/>
  <c r="K7" i="37"/>
  <c r="K9" i="37"/>
  <c r="M15" i="37"/>
  <c r="O18" i="37"/>
  <c r="I33" i="37"/>
  <c r="O33" i="37" s="1"/>
  <c r="O34" i="37"/>
  <c r="I21" i="37"/>
  <c r="I35" i="36"/>
  <c r="O34" i="36"/>
  <c r="L9" i="36"/>
  <c r="I21" i="36"/>
  <c r="I25" i="36"/>
  <c r="M9" i="36"/>
  <c r="K15" i="36"/>
  <c r="O15" i="36"/>
  <c r="K34" i="36"/>
  <c r="M34" i="36" s="1"/>
  <c r="O10" i="36"/>
  <c r="K33" i="36"/>
  <c r="M33" i="36" s="1"/>
  <c r="L34" i="36"/>
  <c r="L33" i="36"/>
  <c r="K25" i="29"/>
  <c r="L19" i="32"/>
  <c r="N19" i="32" s="1"/>
  <c r="M19" i="32"/>
  <c r="L20" i="32"/>
  <c r="M20" i="32"/>
  <c r="I11" i="32"/>
  <c r="M16" i="32"/>
  <c r="N16" i="32" s="1"/>
  <c r="H24" i="35"/>
  <c r="I24" i="35" s="1"/>
  <c r="J24" i="35" s="1"/>
  <c r="L24" i="35" s="1"/>
  <c r="K25" i="32"/>
  <c r="L25" i="32" s="1"/>
  <c r="H12" i="35"/>
  <c r="O9" i="32"/>
  <c r="K9" i="32"/>
  <c r="P15" i="32"/>
  <c r="O15" i="32"/>
  <c r="L16" i="31"/>
  <c r="M16" i="31"/>
  <c r="M19" i="31"/>
  <c r="L19" i="31"/>
  <c r="N19" i="31" s="1"/>
  <c r="M20" i="31"/>
  <c r="L20" i="31"/>
  <c r="I34" i="31"/>
  <c r="I11" i="31"/>
  <c r="O25" i="31"/>
  <c r="N9" i="31"/>
  <c r="L9" i="31"/>
  <c r="H17" i="34"/>
  <c r="I17" i="34" s="1"/>
  <c r="J17" i="34" s="1"/>
  <c r="L17" i="34" s="1"/>
  <c r="H12" i="34"/>
  <c r="H23" i="34" s="1"/>
  <c r="I23" i="34" s="1"/>
  <c r="J23" i="34" s="1"/>
  <c r="P9" i="31"/>
  <c r="K25" i="31"/>
  <c r="M25" i="31" s="1"/>
  <c r="I12" i="35"/>
  <c r="J12" i="35" s="1"/>
  <c r="L17" i="35"/>
  <c r="K17" i="35"/>
  <c r="K15" i="35"/>
  <c r="L15" i="35"/>
  <c r="K24" i="35"/>
  <c r="I21" i="32"/>
  <c r="H6" i="35"/>
  <c r="I6" i="35" s="1"/>
  <c r="J6" i="35" s="1"/>
  <c r="H9" i="35"/>
  <c r="I9" i="35" s="1"/>
  <c r="J9" i="35" s="1"/>
  <c r="H11" i="35"/>
  <c r="I11" i="35" s="1"/>
  <c r="J11" i="35" s="1"/>
  <c r="L9" i="32"/>
  <c r="P9" i="32"/>
  <c r="M15" i="32"/>
  <c r="P25" i="32"/>
  <c r="I34" i="32"/>
  <c r="K35" i="32"/>
  <c r="H8" i="35"/>
  <c r="L15" i="34"/>
  <c r="K15" i="34"/>
  <c r="H13" i="34"/>
  <c r="I12" i="34"/>
  <c r="J12" i="34" s="1"/>
  <c r="O34" i="31"/>
  <c r="K34" i="31"/>
  <c r="K35" i="31"/>
  <c r="H6" i="34"/>
  <c r="I6" i="34" s="1"/>
  <c r="J6" i="34" s="1"/>
  <c r="H9" i="34"/>
  <c r="I9" i="34" s="1"/>
  <c r="J9" i="34" s="1"/>
  <c r="O10" i="31"/>
  <c r="K15" i="31"/>
  <c r="O15" i="31"/>
  <c r="I21" i="31"/>
  <c r="H8" i="34"/>
  <c r="O11" i="29"/>
  <c r="O35" i="29"/>
  <c r="O10" i="29"/>
  <c r="Q26" i="40"/>
  <c r="Q39" i="40" s="1"/>
  <c r="M19" i="29"/>
  <c r="L19" i="29"/>
  <c r="N19" i="29"/>
  <c r="M20" i="29"/>
  <c r="L20" i="29"/>
  <c r="N20" i="29" s="1"/>
  <c r="H12" i="18"/>
  <c r="K9" i="29"/>
  <c r="M9" i="29" s="1"/>
  <c r="P15" i="29"/>
  <c r="K35" i="29"/>
  <c r="M35" i="29" s="1"/>
  <c r="H6" i="18"/>
  <c r="I6" i="18" s="1"/>
  <c r="J6" i="18" s="1"/>
  <c r="K6" i="18" s="1"/>
  <c r="M16" i="29"/>
  <c r="L16" i="29"/>
  <c r="P25" i="29"/>
  <c r="H8" i="18"/>
  <c r="H9" i="18"/>
  <c r="I9" i="18" s="1"/>
  <c r="J9" i="18" s="1"/>
  <c r="I21" i="29"/>
  <c r="H10" i="18"/>
  <c r="I10" i="18" s="1"/>
  <c r="J10" i="18" s="1"/>
  <c r="L15" i="18"/>
  <c r="K15" i="18"/>
  <c r="O15" i="29"/>
  <c r="K15" i="29"/>
  <c r="K17" i="18"/>
  <c r="M17" i="18" s="1"/>
  <c r="H11" i="18"/>
  <c r="Q26" i="42"/>
  <c r="Q39" i="42" s="1"/>
  <c r="Q26" i="39"/>
  <c r="Q39" i="39" s="1"/>
  <c r="Q26" i="41"/>
  <c r="Q39" i="41" s="1"/>
  <c r="Q26" i="36"/>
  <c r="Q39" i="36" s="1"/>
  <c r="Q26" i="31"/>
  <c r="Q40" i="31" s="1"/>
  <c r="Q26" i="37"/>
  <c r="Q39" i="37" s="1"/>
  <c r="O21" i="40" l="1"/>
  <c r="I22" i="40"/>
  <c r="H23" i="18"/>
  <c r="I23" i="18" s="1"/>
  <c r="J23" i="18" s="1"/>
  <c r="I12" i="18"/>
  <c r="J12" i="18" s="1"/>
  <c r="K17" i="34"/>
  <c r="O35" i="36"/>
  <c r="K35" i="36"/>
  <c r="I35" i="37"/>
  <c r="K34" i="37"/>
  <c r="P21" i="40"/>
  <c r="N15" i="37"/>
  <c r="H23" i="35"/>
  <c r="I23" i="35" s="1"/>
  <c r="J23" i="35" s="1"/>
  <c r="H13" i="35"/>
  <c r="N9" i="36"/>
  <c r="S463" i="24"/>
  <c r="S480" i="24"/>
  <c r="I446" i="24"/>
  <c r="I443" i="24"/>
  <c r="O458" i="24"/>
  <c r="I422" i="24"/>
  <c r="O343" i="24"/>
  <c r="O327" i="24"/>
  <c r="O295" i="24"/>
  <c r="O279" i="24"/>
  <c r="O267" i="24"/>
  <c r="I434" i="24"/>
  <c r="I402" i="24"/>
  <c r="S262" i="24"/>
  <c r="I9" i="24"/>
  <c r="S12" i="8"/>
  <c r="P12" i="8"/>
  <c r="G7" i="8"/>
  <c r="G3" i="8"/>
  <c r="O30" i="8"/>
  <c r="D9" i="8"/>
  <c r="I18" i="36" s="1"/>
  <c r="D8" i="8"/>
  <c r="I17" i="36" s="1"/>
  <c r="I7" i="40"/>
  <c r="H24" i="8"/>
  <c r="H5" i="8"/>
  <c r="L16" i="37"/>
  <c r="M16" i="37"/>
  <c r="I492" i="24"/>
  <c r="I473" i="24"/>
  <c r="I470" i="24"/>
  <c r="O13" i="8"/>
  <c r="I34" i="42"/>
  <c r="I11" i="42"/>
  <c r="C9" i="8"/>
  <c r="I18" i="29" s="1"/>
  <c r="C8" i="8"/>
  <c r="I17" i="29" s="1"/>
  <c r="S211" i="24"/>
  <c r="I329" i="24"/>
  <c r="I240" i="24"/>
  <c r="O208" i="24"/>
  <c r="S208" i="24" s="1"/>
  <c r="O192" i="24"/>
  <c r="S192" i="24" s="1"/>
  <c r="I286" i="24"/>
  <c r="O193" i="24"/>
  <c r="I342" i="24"/>
  <c r="I280" i="24"/>
  <c r="O9" i="24"/>
  <c r="I227" i="24"/>
  <c r="O169" i="24"/>
  <c r="O195" i="24"/>
  <c r="S455" i="24"/>
  <c r="S329" i="24"/>
  <c r="S9" i="24"/>
  <c r="I211" i="24"/>
  <c r="I185" i="24"/>
  <c r="I181" i="24"/>
  <c r="I177" i="24"/>
  <c r="I173" i="24"/>
  <c r="I169" i="24"/>
  <c r="P23" i="33"/>
  <c r="P29" i="8"/>
  <c r="P13" i="8"/>
  <c r="K7" i="8"/>
  <c r="K3" i="8"/>
  <c r="T11" i="8"/>
  <c r="I482" i="24"/>
  <c r="I472" i="24"/>
  <c r="I466" i="24"/>
  <c r="I489" i="24"/>
  <c r="I251" i="24"/>
  <c r="I242" i="24"/>
  <c r="I226" i="24"/>
  <c r="O215" i="24"/>
  <c r="S215" i="24" s="1"/>
  <c r="S177" i="24"/>
  <c r="I263" i="24"/>
  <c r="O217" i="24"/>
  <c r="S217" i="24" s="1"/>
  <c r="S187" i="24"/>
  <c r="S205" i="24"/>
  <c r="S193" i="24"/>
  <c r="O10" i="32"/>
  <c r="O10" i="42"/>
  <c r="O9" i="42"/>
  <c r="I344" i="24"/>
  <c r="I248" i="24"/>
  <c r="S169" i="24"/>
  <c r="M15" i="34"/>
  <c r="N20" i="31"/>
  <c r="N16" i="31"/>
  <c r="N20" i="32"/>
  <c r="N34" i="36"/>
  <c r="O38" i="36"/>
  <c r="M25" i="41"/>
  <c r="O468" i="24"/>
  <c r="S468" i="24" s="1"/>
  <c r="S479" i="24"/>
  <c r="S473" i="24"/>
  <c r="I423" i="24"/>
  <c r="I419" i="24"/>
  <c r="I415" i="24"/>
  <c r="I411" i="24"/>
  <c r="I403" i="24"/>
  <c r="I399" i="24"/>
  <c r="I395" i="24"/>
  <c r="I391" i="24"/>
  <c r="I383" i="24"/>
  <c r="I379" i="24"/>
  <c r="I375" i="24"/>
  <c r="I367" i="24"/>
  <c r="I430" i="24"/>
  <c r="I404" i="24"/>
  <c r="I359" i="24"/>
  <c r="S430" i="24"/>
  <c r="I410" i="24"/>
  <c r="S351" i="24"/>
  <c r="S315" i="24"/>
  <c r="S287" i="24"/>
  <c r="S259" i="24"/>
  <c r="S333" i="24"/>
  <c r="S323" i="24"/>
  <c r="S291" i="24"/>
  <c r="S346" i="24"/>
  <c r="O266" i="24"/>
  <c r="S245" i="24"/>
  <c r="I4" i="24"/>
  <c r="S322" i="24"/>
  <c r="S258" i="24"/>
  <c r="S153" i="24"/>
  <c r="S125" i="24"/>
  <c r="S109" i="24"/>
  <c r="S89" i="24"/>
  <c r="S77" i="24"/>
  <c r="O249" i="24"/>
  <c r="S249" i="24" s="1"/>
  <c r="S253" i="24"/>
  <c r="M5" i="35"/>
  <c r="M5" i="34"/>
  <c r="H9" i="8"/>
  <c r="I18" i="40" s="1"/>
  <c r="O18" i="40" s="1"/>
  <c r="H8" i="8"/>
  <c r="I17" i="40" s="1"/>
  <c r="O15" i="42"/>
  <c r="P15" i="42"/>
  <c r="I11" i="41"/>
  <c r="I34" i="41"/>
  <c r="I33" i="41"/>
  <c r="I490" i="24"/>
  <c r="O31" i="8"/>
  <c r="O37" i="8" s="1"/>
  <c r="S29" i="8"/>
  <c r="O35" i="8"/>
  <c r="M16" i="39"/>
  <c r="L16" i="39"/>
  <c r="I425" i="24"/>
  <c r="I481" i="24"/>
  <c r="I478" i="24"/>
  <c r="I464" i="24"/>
  <c r="I455" i="24"/>
  <c r="I334" i="24"/>
  <c r="S209" i="24"/>
  <c r="I294" i="24"/>
  <c r="I271" i="24"/>
  <c r="I337" i="24"/>
  <c r="I295" i="24"/>
  <c r="I265" i="24"/>
  <c r="O185" i="24"/>
  <c r="O10" i="41"/>
  <c r="I288" i="24"/>
  <c r="S171" i="24"/>
  <c r="O10" i="24"/>
  <c r="S10" i="24" s="1"/>
  <c r="I310" i="24"/>
  <c r="N16" i="37"/>
  <c r="O237" i="24"/>
  <c r="S237" i="24" s="1"/>
  <c r="O241" i="24"/>
  <c r="S241" i="24" s="1"/>
  <c r="N36" i="8"/>
  <c r="R30" i="8"/>
  <c r="I33" i="40"/>
  <c r="I11" i="40"/>
  <c r="S11" i="8"/>
  <c r="H11" i="34"/>
  <c r="P25" i="31"/>
  <c r="K7" i="36"/>
  <c r="N31" i="8"/>
  <c r="N37" i="8" s="1"/>
  <c r="I7" i="29"/>
  <c r="C5" i="8"/>
  <c r="D14" i="8" s="1"/>
  <c r="C24" i="8"/>
  <c r="C25" i="8" s="1"/>
  <c r="O226" i="24"/>
  <c r="S226" i="24" s="1"/>
  <c r="I311" i="24"/>
  <c r="I327" i="24"/>
  <c r="I297" i="24"/>
  <c r="S189" i="24"/>
  <c r="S185" i="24"/>
  <c r="I352" i="24"/>
  <c r="I278" i="24"/>
  <c r="S197" i="24"/>
  <c r="K17" i="37"/>
  <c r="P17" i="37"/>
  <c r="O17" i="37"/>
  <c r="I318" i="24"/>
  <c r="S173" i="24"/>
  <c r="I312" i="24"/>
  <c r="I234" i="24"/>
  <c r="S201" i="24"/>
  <c r="S195" i="24"/>
  <c r="N16" i="39"/>
  <c r="S281" i="24"/>
  <c r="S130" i="24"/>
  <c r="S90" i="24"/>
  <c r="I448" i="24"/>
  <c r="I437" i="24"/>
  <c r="I361" i="24"/>
  <c r="O339" i="24"/>
  <c r="O275" i="24"/>
  <c r="S275" i="24" s="1"/>
  <c r="S327" i="24"/>
  <c r="S267" i="24"/>
  <c r="S301" i="24"/>
  <c r="I358" i="24"/>
  <c r="S331" i="24"/>
  <c r="S263" i="24"/>
  <c r="S266" i="24"/>
  <c r="O290" i="24"/>
  <c r="S290" i="24" s="1"/>
  <c r="O334" i="24"/>
  <c r="S113" i="24"/>
  <c r="S61" i="24"/>
  <c r="S469" i="24"/>
  <c r="O452" i="24"/>
  <c r="S452" i="24" s="1"/>
  <c r="O462" i="24"/>
  <c r="S462" i="24" s="1"/>
  <c r="O464" i="24"/>
  <c r="S464" i="24" s="1"/>
  <c r="O459" i="24"/>
  <c r="S459" i="24" s="1"/>
  <c r="I452" i="24"/>
  <c r="O431" i="24"/>
  <c r="S431" i="24" s="1"/>
  <c r="O429" i="24"/>
  <c r="S429" i="24" s="1"/>
  <c r="I432" i="24"/>
  <c r="O428" i="24"/>
  <c r="S428" i="24" s="1"/>
  <c r="S490" i="24"/>
  <c r="O434" i="24"/>
  <c r="S434" i="24" s="1"/>
  <c r="I445" i="24"/>
  <c r="O247" i="24"/>
  <c r="S247" i="24" s="1"/>
  <c r="S343" i="24"/>
  <c r="S307" i="24"/>
  <c r="S279" i="24"/>
  <c r="S309" i="24"/>
  <c r="S277" i="24"/>
  <c r="S261" i="24"/>
  <c r="S347" i="24"/>
  <c r="S319" i="24"/>
  <c r="S283" i="24"/>
  <c r="O229" i="24"/>
  <c r="S229" i="24" s="1"/>
  <c r="I12" i="24"/>
  <c r="I8" i="24"/>
  <c r="S342" i="24"/>
  <c r="S326" i="24"/>
  <c r="I214" i="24"/>
  <c r="I209" i="24"/>
  <c r="I205" i="24"/>
  <c r="I201" i="24"/>
  <c r="I197" i="24"/>
  <c r="I193" i="24"/>
  <c r="I189" i="24"/>
  <c r="O138" i="24"/>
  <c r="S138" i="24" s="1"/>
  <c r="O270" i="24"/>
  <c r="S270" i="24" s="1"/>
  <c r="S137" i="24"/>
  <c r="S97" i="24"/>
  <c r="S85" i="24"/>
  <c r="I11" i="24"/>
  <c r="O94" i="24"/>
  <c r="O66" i="24"/>
  <c r="S66" i="24" s="1"/>
  <c r="S345" i="24"/>
  <c r="S313" i="24"/>
  <c r="S94" i="24"/>
  <c r="I440" i="24"/>
  <c r="O335" i="24"/>
  <c r="O311" i="24"/>
  <c r="S311" i="24" s="1"/>
  <c r="O271" i="24"/>
  <c r="I221" i="24"/>
  <c r="S295" i="24"/>
  <c r="S349" i="24"/>
  <c r="S317" i="24"/>
  <c r="S303" i="24"/>
  <c r="O330" i="24"/>
  <c r="O298" i="24"/>
  <c r="O165" i="24"/>
  <c r="S165" i="24" s="1"/>
  <c r="O149" i="24"/>
  <c r="S149" i="24" s="1"/>
  <c r="O129" i="24"/>
  <c r="S129" i="24" s="1"/>
  <c r="O121" i="24"/>
  <c r="S121" i="24" s="1"/>
  <c r="I414" i="24"/>
  <c r="S350" i="24"/>
  <c r="S302" i="24"/>
  <c r="O310" i="24"/>
  <c r="C10" i="41"/>
  <c r="G10" i="41" s="1"/>
  <c r="J10" i="41" s="1"/>
  <c r="C10" i="36"/>
  <c r="G10" i="36" s="1"/>
  <c r="J10" i="36" s="1"/>
  <c r="C10" i="32"/>
  <c r="G10" i="32" s="1"/>
  <c r="J10" i="32" s="1"/>
  <c r="N10" i="32" s="1"/>
  <c r="C10" i="42"/>
  <c r="G10" i="42" s="1"/>
  <c r="J10" i="42" s="1"/>
  <c r="C10" i="37"/>
  <c r="G10" i="37" s="1"/>
  <c r="J10" i="37" s="1"/>
  <c r="C10" i="40"/>
  <c r="G10" i="40" s="1"/>
  <c r="J10" i="40" s="1"/>
  <c r="C10" i="39"/>
  <c r="G10" i="39" s="1"/>
  <c r="J10" i="39" s="1"/>
  <c r="C10" i="31"/>
  <c r="G10" i="31" s="1"/>
  <c r="J10" i="31" s="1"/>
  <c r="N10" i="31" s="1"/>
  <c r="C10" i="29"/>
  <c r="G10" i="29" s="1"/>
  <c r="J10" i="29" s="1"/>
  <c r="Y5" i="24"/>
  <c r="I10" i="24"/>
  <c r="S477" i="24"/>
  <c r="O470" i="24"/>
  <c r="S470" i="24" s="1"/>
  <c r="I442" i="24"/>
  <c r="I438" i="24"/>
  <c r="O491" i="24"/>
  <c r="S491" i="24" s="1"/>
  <c r="O483" i="24"/>
  <c r="S483" i="24" s="1"/>
  <c r="O475" i="24"/>
  <c r="S475" i="24" s="1"/>
  <c r="O467" i="24"/>
  <c r="S467" i="24" s="1"/>
  <c r="I450" i="24"/>
  <c r="S482" i="24"/>
  <c r="I451" i="24"/>
  <c r="I447" i="24"/>
  <c r="I417" i="24"/>
  <c r="I413" i="24"/>
  <c r="I405" i="24"/>
  <c r="I401" i="24"/>
  <c r="I397" i="24"/>
  <c r="I393" i="24"/>
  <c r="I389" i="24"/>
  <c r="I385" i="24"/>
  <c r="I381" i="24"/>
  <c r="S458" i="24"/>
  <c r="S474" i="24"/>
  <c r="I444" i="24"/>
  <c r="I441" i="24"/>
  <c r="I363" i="24"/>
  <c r="I355" i="24"/>
  <c r="S352" i="24"/>
  <c r="S344" i="24"/>
  <c r="S340" i="24"/>
  <c r="S332" i="24"/>
  <c r="S324" i="24"/>
  <c r="S320" i="24"/>
  <c r="S316" i="24"/>
  <c r="S308" i="24"/>
  <c r="S300" i="24"/>
  <c r="S292" i="24"/>
  <c r="S288" i="24"/>
  <c r="S284" i="24"/>
  <c r="S280" i="24"/>
  <c r="S276" i="24"/>
  <c r="S272" i="24"/>
  <c r="S268" i="24"/>
  <c r="S264" i="24"/>
  <c r="S260" i="24"/>
  <c r="I362" i="24"/>
  <c r="S335" i="24"/>
  <c r="S299" i="24"/>
  <c r="S353" i="24"/>
  <c r="S337" i="24"/>
  <c r="S321" i="24"/>
  <c r="S289" i="24"/>
  <c r="S257" i="24"/>
  <c r="I449" i="24"/>
  <c r="S339" i="24"/>
  <c r="S271" i="24"/>
  <c r="S330" i="24"/>
  <c r="S298" i="24"/>
  <c r="O167" i="24"/>
  <c r="S167" i="24" s="1"/>
  <c r="I3" i="24"/>
  <c r="I398" i="24"/>
  <c r="I366" i="24"/>
  <c r="I222" i="24"/>
  <c r="I218" i="24"/>
  <c r="O150" i="24"/>
  <c r="S150" i="24" s="1"/>
  <c r="O338" i="24"/>
  <c r="S338" i="24" s="1"/>
  <c r="I382" i="24"/>
  <c r="S334" i="24"/>
  <c r="O286" i="24"/>
  <c r="S286" i="24" s="1"/>
  <c r="S145" i="24"/>
  <c r="S133" i="24"/>
  <c r="S117" i="24"/>
  <c r="I7" i="24"/>
  <c r="S310" i="24"/>
  <c r="O294" i="24"/>
  <c r="S294" i="24" s="1"/>
  <c r="O278" i="24"/>
  <c r="S278" i="24" s="1"/>
  <c r="O306" i="24"/>
  <c r="S306" i="24" s="1"/>
  <c r="N25" i="41"/>
  <c r="M25" i="42"/>
  <c r="N25" i="42" s="1"/>
  <c r="M34" i="39"/>
  <c r="K38" i="36"/>
  <c r="P22" i="41"/>
  <c r="O22" i="41"/>
  <c r="K22" i="41"/>
  <c r="M21" i="41"/>
  <c r="L21" i="41"/>
  <c r="L9" i="41"/>
  <c r="M9" i="41"/>
  <c r="L9" i="42"/>
  <c r="M9" i="42"/>
  <c r="K33" i="42"/>
  <c r="O33" i="42"/>
  <c r="P22" i="42"/>
  <c r="O22" i="42"/>
  <c r="K22" i="42"/>
  <c r="M21" i="42"/>
  <c r="L21" i="42"/>
  <c r="O22" i="40"/>
  <c r="K22" i="40"/>
  <c r="P22" i="40"/>
  <c r="I35" i="40"/>
  <c r="O34" i="40"/>
  <c r="M25" i="40"/>
  <c r="L25" i="40"/>
  <c r="M9" i="40"/>
  <c r="L9" i="40"/>
  <c r="N9" i="40" s="1"/>
  <c r="M21" i="40"/>
  <c r="L21" i="40"/>
  <c r="N21" i="40" s="1"/>
  <c r="K34" i="40"/>
  <c r="M15" i="40"/>
  <c r="L15" i="40"/>
  <c r="O33" i="39"/>
  <c r="K33" i="39"/>
  <c r="M25" i="39"/>
  <c r="L25" i="39"/>
  <c r="N25" i="39" s="1"/>
  <c r="O22" i="39"/>
  <c r="K22" i="39"/>
  <c r="P22" i="39"/>
  <c r="M21" i="39"/>
  <c r="L21" i="39"/>
  <c r="M15" i="39"/>
  <c r="L15" i="39"/>
  <c r="N15" i="39" s="1"/>
  <c r="N34" i="39"/>
  <c r="M9" i="39"/>
  <c r="L9" i="39"/>
  <c r="N9" i="39"/>
  <c r="I22" i="37"/>
  <c r="O21" i="37"/>
  <c r="K21" i="37"/>
  <c r="P21" i="37"/>
  <c r="M18" i="37"/>
  <c r="L18" i="37"/>
  <c r="N18" i="37" s="1"/>
  <c r="L25" i="37"/>
  <c r="N25" i="37" s="1"/>
  <c r="M25" i="37"/>
  <c r="L9" i="37"/>
  <c r="M9" i="37"/>
  <c r="N9" i="37" s="1"/>
  <c r="K33" i="37"/>
  <c r="L7" i="37"/>
  <c r="M7" i="37"/>
  <c r="N7" i="37" s="1"/>
  <c r="L15" i="36"/>
  <c r="N15" i="36"/>
  <c r="M15" i="36"/>
  <c r="P25" i="36"/>
  <c r="O25" i="36"/>
  <c r="K25" i="36"/>
  <c r="P21" i="36"/>
  <c r="O21" i="36"/>
  <c r="K21" i="36"/>
  <c r="I22" i="36"/>
  <c r="N33" i="36"/>
  <c r="M15" i="35"/>
  <c r="N25" i="32"/>
  <c r="M25" i="32"/>
  <c r="J11" i="32"/>
  <c r="N11" i="32" s="1"/>
  <c r="O11" i="32"/>
  <c r="M24" i="35"/>
  <c r="M9" i="32"/>
  <c r="N9" i="32" s="1"/>
  <c r="M17" i="35"/>
  <c r="O11" i="31"/>
  <c r="J11" i="31"/>
  <c r="M17" i="34"/>
  <c r="L25" i="31"/>
  <c r="N25" i="31" s="1"/>
  <c r="K11" i="35"/>
  <c r="M11" i="35" s="1"/>
  <c r="L11" i="35"/>
  <c r="K23" i="35"/>
  <c r="M23" i="35" s="1"/>
  <c r="L23" i="35"/>
  <c r="I8" i="35"/>
  <c r="J8" i="35" s="1"/>
  <c r="M25" i="35"/>
  <c r="K9" i="35"/>
  <c r="M9" i="35" s="1"/>
  <c r="L9" i="35"/>
  <c r="O34" i="32"/>
  <c r="K34" i="32"/>
  <c r="H21" i="35"/>
  <c r="K21" i="32"/>
  <c r="P21" i="32"/>
  <c r="O21" i="32"/>
  <c r="I22" i="32"/>
  <c r="N15" i="32"/>
  <c r="K12" i="35"/>
  <c r="L12" i="35"/>
  <c r="L35" i="32"/>
  <c r="M35" i="32"/>
  <c r="K6" i="35"/>
  <c r="L6" i="35"/>
  <c r="L9" i="34"/>
  <c r="K9" i="34"/>
  <c r="M9" i="34"/>
  <c r="L15" i="31"/>
  <c r="M15" i="31"/>
  <c r="I8" i="34"/>
  <c r="J8" i="34" s="1"/>
  <c r="M25" i="34"/>
  <c r="M35" i="31"/>
  <c r="L35" i="31"/>
  <c r="L23" i="34"/>
  <c r="M23" i="34" s="1"/>
  <c r="K23" i="34"/>
  <c r="L6" i="34"/>
  <c r="K6" i="34"/>
  <c r="I22" i="31"/>
  <c r="H21" i="34"/>
  <c r="P21" i="31"/>
  <c r="O21" i="31"/>
  <c r="K21" i="31"/>
  <c r="L34" i="31"/>
  <c r="N34" i="31" s="1"/>
  <c r="M34" i="31"/>
  <c r="L12" i="34"/>
  <c r="K12" i="34"/>
  <c r="J11" i="29"/>
  <c r="N11" i="29" s="1"/>
  <c r="L35" i="29"/>
  <c r="N35" i="29" s="1"/>
  <c r="L9" i="29"/>
  <c r="N9" i="29" s="1"/>
  <c r="L6" i="18"/>
  <c r="N16" i="29"/>
  <c r="M25" i="18"/>
  <c r="I8" i="18"/>
  <c r="J8" i="18" s="1"/>
  <c r="K8" i="18" s="1"/>
  <c r="H13" i="18"/>
  <c r="M15" i="18"/>
  <c r="M6" i="18"/>
  <c r="K12" i="18"/>
  <c r="L12" i="18"/>
  <c r="H21" i="18"/>
  <c r="I21" i="18" s="1"/>
  <c r="J21" i="18" s="1"/>
  <c r="O21" i="29"/>
  <c r="K21" i="29"/>
  <c r="I22" i="29"/>
  <c r="P21" i="29"/>
  <c r="M15" i="29"/>
  <c r="L15" i="29"/>
  <c r="N15" i="29" s="1"/>
  <c r="L9" i="18"/>
  <c r="K9" i="18"/>
  <c r="I11" i="18"/>
  <c r="J11" i="18" s="1"/>
  <c r="H24" i="18"/>
  <c r="I24" i="18" s="1"/>
  <c r="J24" i="18" s="1"/>
  <c r="K10" i="18"/>
  <c r="L10" i="18"/>
  <c r="O34" i="29"/>
  <c r="K34" i="29"/>
  <c r="M25" i="29"/>
  <c r="L25" i="29"/>
  <c r="J26" i="29"/>
  <c r="N10" i="29"/>
  <c r="L23" i="18"/>
  <c r="K23" i="18"/>
  <c r="L8" i="18" l="1"/>
  <c r="R36" i="8"/>
  <c r="R35" i="8"/>
  <c r="K33" i="41"/>
  <c r="O33" i="41"/>
  <c r="I7" i="8"/>
  <c r="I3" i="8"/>
  <c r="J11" i="42"/>
  <c r="N11" i="42" s="1"/>
  <c r="O11" i="42"/>
  <c r="Q24" i="33"/>
  <c r="P17" i="36"/>
  <c r="K17" i="36"/>
  <c r="O17" i="36"/>
  <c r="G9" i="8"/>
  <c r="I18" i="39" s="1"/>
  <c r="G8" i="8"/>
  <c r="I17" i="39" s="1"/>
  <c r="K35" i="37"/>
  <c r="O35" i="37"/>
  <c r="O38" i="37" s="1"/>
  <c r="L7" i="36"/>
  <c r="N7" i="36" s="1"/>
  <c r="M7" i="36"/>
  <c r="J11" i="40"/>
  <c r="N11" i="40" s="1"/>
  <c r="O11" i="40"/>
  <c r="O34" i="41"/>
  <c r="K34" i="41"/>
  <c r="P17" i="40"/>
  <c r="O17" i="40"/>
  <c r="K17" i="40"/>
  <c r="P31" i="8"/>
  <c r="P37" i="8" s="1"/>
  <c r="P35" i="8"/>
  <c r="T29" i="8"/>
  <c r="O34" i="42"/>
  <c r="K34" i="42"/>
  <c r="P18" i="36"/>
  <c r="O18" i="36"/>
  <c r="O18" i="39" s="1"/>
  <c r="K18" i="36"/>
  <c r="T12" i="8"/>
  <c r="P30" i="8"/>
  <c r="J7" i="8"/>
  <c r="J3" i="8"/>
  <c r="L35" i="36"/>
  <c r="M35" i="36"/>
  <c r="M38" i="36" s="1"/>
  <c r="N21" i="41"/>
  <c r="I36" i="29"/>
  <c r="H3" i="33"/>
  <c r="R23" i="33"/>
  <c r="E14" i="8"/>
  <c r="E16" i="8"/>
  <c r="O33" i="40"/>
  <c r="K33" i="40"/>
  <c r="J11" i="41"/>
  <c r="N11" i="41" s="1"/>
  <c r="O11" i="41"/>
  <c r="P18" i="40"/>
  <c r="K18" i="40"/>
  <c r="I7" i="41"/>
  <c r="K5" i="8"/>
  <c r="K4" i="8"/>
  <c r="I15" i="41" s="1"/>
  <c r="P17" i="29"/>
  <c r="K17" i="29"/>
  <c r="O17" i="29"/>
  <c r="H18" i="18"/>
  <c r="I18" i="18" s="1"/>
  <c r="J18" i="18" s="1"/>
  <c r="F7" i="8"/>
  <c r="F3" i="8"/>
  <c r="O36" i="8"/>
  <c r="S36" i="8" s="1"/>
  <c r="S30" i="8"/>
  <c r="M12" i="34"/>
  <c r="N35" i="31"/>
  <c r="N21" i="39"/>
  <c r="N9" i="41"/>
  <c r="M17" i="37"/>
  <c r="N17" i="37" s="1"/>
  <c r="L17" i="37"/>
  <c r="K7" i="29"/>
  <c r="O7" i="29"/>
  <c r="H24" i="34"/>
  <c r="I24" i="34" s="1"/>
  <c r="J24" i="34" s="1"/>
  <c r="I11" i="34"/>
  <c r="J11" i="34" s="1"/>
  <c r="K9" i="8"/>
  <c r="I18" i="41" s="1"/>
  <c r="K8" i="8"/>
  <c r="I17" i="41" s="1"/>
  <c r="D16" i="8"/>
  <c r="K18" i="29"/>
  <c r="O18" i="29"/>
  <c r="P18" i="29"/>
  <c r="O7" i="40"/>
  <c r="O26" i="40" s="1"/>
  <c r="K7" i="40"/>
  <c r="I7" i="39"/>
  <c r="G24" i="8"/>
  <c r="G15" i="8"/>
  <c r="G5" i="8"/>
  <c r="M34" i="37"/>
  <c r="L34" i="37"/>
  <c r="N34" i="37" s="1"/>
  <c r="Z12" i="24"/>
  <c r="AB5" i="24"/>
  <c r="J26" i="40"/>
  <c r="J39" i="40" s="1"/>
  <c r="N10" i="40"/>
  <c r="J26" i="32"/>
  <c r="J40" i="32" s="1"/>
  <c r="J26" i="42"/>
  <c r="J39" i="42" s="1"/>
  <c r="N10" i="42"/>
  <c r="N10" i="39"/>
  <c r="J26" i="39"/>
  <c r="J39" i="39" s="1"/>
  <c r="N10" i="36"/>
  <c r="J26" i="36"/>
  <c r="J39" i="36" s="1"/>
  <c r="N10" i="37"/>
  <c r="J26" i="37"/>
  <c r="J39" i="37" s="1"/>
  <c r="N10" i="41"/>
  <c r="J26" i="41"/>
  <c r="J39" i="41" s="1"/>
  <c r="N25" i="40"/>
  <c r="N21" i="42"/>
  <c r="N9" i="42"/>
  <c r="N15" i="40"/>
  <c r="M22" i="41"/>
  <c r="L22" i="41"/>
  <c r="M22" i="42"/>
  <c r="L22" i="42"/>
  <c r="M33" i="42"/>
  <c r="L33" i="42"/>
  <c r="M22" i="40"/>
  <c r="L22" i="40"/>
  <c r="M34" i="40"/>
  <c r="L34" i="40"/>
  <c r="O35" i="40"/>
  <c r="O38" i="40" s="1"/>
  <c r="K35" i="40"/>
  <c r="K38" i="40" s="1"/>
  <c r="M22" i="39"/>
  <c r="L22" i="39"/>
  <c r="M33" i="39"/>
  <c r="L33" i="39"/>
  <c r="K38" i="37"/>
  <c r="M33" i="37"/>
  <c r="L33" i="37"/>
  <c r="P22" i="37"/>
  <c r="O22" i="37"/>
  <c r="O26" i="37" s="1"/>
  <c r="O39" i="37" s="1"/>
  <c r="M23" i="33" s="1"/>
  <c r="K22" i="37"/>
  <c r="L21" i="37"/>
  <c r="M21" i="37"/>
  <c r="P26" i="37"/>
  <c r="P22" i="36"/>
  <c r="P26" i="36" s="1"/>
  <c r="O22" i="36"/>
  <c r="O26" i="36" s="1"/>
  <c r="K22" i="36"/>
  <c r="L21" i="36"/>
  <c r="M21" i="36"/>
  <c r="L25" i="36"/>
  <c r="M25" i="36"/>
  <c r="N25" i="36" s="1"/>
  <c r="K26" i="36"/>
  <c r="N25" i="29"/>
  <c r="M12" i="35"/>
  <c r="N35" i="32"/>
  <c r="N11" i="31"/>
  <c r="J26" i="31"/>
  <c r="J40" i="31" s="1"/>
  <c r="K8" i="35"/>
  <c r="L8" i="35"/>
  <c r="M6" i="35"/>
  <c r="M21" i="32"/>
  <c r="L21" i="32"/>
  <c r="L34" i="32"/>
  <c r="M34" i="32"/>
  <c r="H22" i="35"/>
  <c r="I22" i="35" s="1"/>
  <c r="J22" i="35" s="1"/>
  <c r="O22" i="32"/>
  <c r="K22" i="32"/>
  <c r="P22" i="32"/>
  <c r="I21" i="35"/>
  <c r="J21" i="35" s="1"/>
  <c r="H10" i="35"/>
  <c r="I10" i="35" s="1"/>
  <c r="J10" i="35" s="1"/>
  <c r="I21" i="34"/>
  <c r="J21" i="34" s="1"/>
  <c r="H10" i="34"/>
  <c r="I10" i="34" s="1"/>
  <c r="J10" i="34" s="1"/>
  <c r="P22" i="31"/>
  <c r="H22" i="34"/>
  <c r="I22" i="34" s="1"/>
  <c r="J22" i="34" s="1"/>
  <c r="O22" i="31"/>
  <c r="K22" i="31"/>
  <c r="L8" i="34"/>
  <c r="K8" i="34"/>
  <c r="L21" i="31"/>
  <c r="M21" i="31"/>
  <c r="N15" i="31"/>
  <c r="M6" i="34"/>
  <c r="M23" i="18"/>
  <c r="M10" i="18"/>
  <c r="M9" i="18"/>
  <c r="M12" i="18"/>
  <c r="J40" i="29"/>
  <c r="L11" i="18"/>
  <c r="K11" i="18"/>
  <c r="L21" i="18"/>
  <c r="K21" i="18"/>
  <c r="M34" i="29"/>
  <c r="L34" i="29"/>
  <c r="O22" i="29"/>
  <c r="K22" i="29"/>
  <c r="H22" i="18"/>
  <c r="I22" i="18" s="1"/>
  <c r="J22" i="18" s="1"/>
  <c r="P22" i="29"/>
  <c r="P26" i="29" s="1"/>
  <c r="P40" i="29" s="1"/>
  <c r="I3" i="33" s="1"/>
  <c r="M8" i="18"/>
  <c r="L21" i="29"/>
  <c r="M21" i="29"/>
  <c r="L24" i="18"/>
  <c r="K24" i="18"/>
  <c r="P39" i="36" l="1"/>
  <c r="S23" i="33"/>
  <c r="P24" i="33"/>
  <c r="I35" i="39"/>
  <c r="K26" i="40"/>
  <c r="L7" i="40"/>
  <c r="M7" i="40"/>
  <c r="L18" i="29"/>
  <c r="M18" i="29"/>
  <c r="N18" i="29" s="1"/>
  <c r="L11" i="34"/>
  <c r="K11" i="34"/>
  <c r="M11" i="34"/>
  <c r="I7" i="31"/>
  <c r="F24" i="8"/>
  <c r="F25" i="8" s="1"/>
  <c r="F5" i="8"/>
  <c r="H15" i="8"/>
  <c r="L17" i="29"/>
  <c r="N17" i="29" s="1"/>
  <c r="M17" i="29"/>
  <c r="Q25" i="33"/>
  <c r="N35" i="36"/>
  <c r="N38" i="36" s="1"/>
  <c r="L38" i="36"/>
  <c r="E23" i="33" s="1"/>
  <c r="M34" i="42"/>
  <c r="N34" i="42" s="1"/>
  <c r="L34" i="42"/>
  <c r="M34" i="41"/>
  <c r="L34" i="41"/>
  <c r="N34" i="41" s="1"/>
  <c r="P17" i="39"/>
  <c r="O17" i="39"/>
  <c r="K17" i="39"/>
  <c r="L33" i="41"/>
  <c r="M33" i="41"/>
  <c r="N33" i="41"/>
  <c r="P39" i="37"/>
  <c r="T23" i="33"/>
  <c r="K24" i="34"/>
  <c r="L24" i="34"/>
  <c r="M24" i="34" s="1"/>
  <c r="F8" i="8"/>
  <c r="I17" i="31" s="1"/>
  <c r="F9" i="8"/>
  <c r="I18" i="31" s="1"/>
  <c r="O7" i="41"/>
  <c r="K7" i="41"/>
  <c r="K36" i="29"/>
  <c r="O36" i="29"/>
  <c r="O39" i="29" s="1"/>
  <c r="I7" i="42"/>
  <c r="J4" i="8"/>
  <c r="J5" i="8" s="1"/>
  <c r="M18" i="36"/>
  <c r="L18" i="36"/>
  <c r="N18" i="36" s="1"/>
  <c r="M17" i="40"/>
  <c r="L17" i="40"/>
  <c r="L26" i="40" s="1"/>
  <c r="P18" i="39"/>
  <c r="K18" i="39"/>
  <c r="I24" i="8"/>
  <c r="I25" i="8" s="1"/>
  <c r="I7" i="32"/>
  <c r="I5" i="8"/>
  <c r="K16" i="8" s="1"/>
  <c r="S35" i="8"/>
  <c r="O39" i="40"/>
  <c r="M24" i="33" s="1"/>
  <c r="K17" i="41"/>
  <c r="O17" i="41"/>
  <c r="P17" i="41"/>
  <c r="O26" i="29"/>
  <c r="L18" i="18"/>
  <c r="K18" i="18"/>
  <c r="M18" i="18"/>
  <c r="L18" i="40"/>
  <c r="M18" i="40"/>
  <c r="L33" i="40"/>
  <c r="M33" i="40"/>
  <c r="J9" i="8"/>
  <c r="I18" i="42" s="1"/>
  <c r="J8" i="8"/>
  <c r="I17" i="42" s="1"/>
  <c r="O18" i="42"/>
  <c r="I35" i="41"/>
  <c r="Q27" i="33"/>
  <c r="I8" i="8"/>
  <c r="I17" i="32" s="1"/>
  <c r="I9" i="8"/>
  <c r="I18" i="32" s="1"/>
  <c r="N21" i="37"/>
  <c r="N22" i="41"/>
  <c r="O7" i="39"/>
  <c r="O26" i="39" s="1"/>
  <c r="K7" i="39"/>
  <c r="P18" i="41"/>
  <c r="K18" i="41"/>
  <c r="L7" i="29"/>
  <c r="N7" i="29" s="1"/>
  <c r="M7" i="29"/>
  <c r="O15" i="41"/>
  <c r="P15" i="41"/>
  <c r="P26" i="41" s="1"/>
  <c r="K15" i="41"/>
  <c r="T30" i="8"/>
  <c r="P36" i="8"/>
  <c r="T36" i="8" s="1"/>
  <c r="P26" i="40"/>
  <c r="L35" i="37"/>
  <c r="M35" i="37"/>
  <c r="N35" i="37" s="1"/>
  <c r="L17" i="36"/>
  <c r="N17" i="36" s="1"/>
  <c r="M17" i="36"/>
  <c r="O18" i="41"/>
  <c r="N22" i="40"/>
  <c r="N22" i="39"/>
  <c r="N21" i="36"/>
  <c r="N22" i="42"/>
  <c r="N33" i="42"/>
  <c r="K39" i="40"/>
  <c r="N34" i="40"/>
  <c r="M35" i="40"/>
  <c r="M38" i="40" s="1"/>
  <c r="L35" i="40"/>
  <c r="L38" i="40" s="1"/>
  <c r="N33" i="39"/>
  <c r="M22" i="37"/>
  <c r="M26" i="37" s="1"/>
  <c r="L22" i="37"/>
  <c r="L26" i="37" s="1"/>
  <c r="K26" i="37"/>
  <c r="L38" i="37"/>
  <c r="N33" i="37"/>
  <c r="N38" i="37" s="1"/>
  <c r="O39" i="36"/>
  <c r="L23" i="33" s="1"/>
  <c r="N23" i="33" s="1"/>
  <c r="K39" i="36"/>
  <c r="L22" i="36"/>
  <c r="L26" i="36" s="1"/>
  <c r="L39" i="36" s="1"/>
  <c r="M22" i="36"/>
  <c r="M26" i="36" s="1"/>
  <c r="M39" i="36" s="1"/>
  <c r="N34" i="32"/>
  <c r="M8" i="34"/>
  <c r="M8" i="35"/>
  <c r="M22" i="32"/>
  <c r="L22" i="32"/>
  <c r="L10" i="35"/>
  <c r="K10" i="35"/>
  <c r="K21" i="35"/>
  <c r="L21" i="35"/>
  <c r="L22" i="35"/>
  <c r="K22" i="35"/>
  <c r="M22" i="35" s="1"/>
  <c r="N21" i="32"/>
  <c r="N21" i="31"/>
  <c r="L10" i="34"/>
  <c r="K10" i="34"/>
  <c r="L22" i="31"/>
  <c r="M22" i="31"/>
  <c r="K22" i="34"/>
  <c r="L22" i="34"/>
  <c r="L21" i="34"/>
  <c r="K21" i="34"/>
  <c r="N34" i="29"/>
  <c r="N21" i="29"/>
  <c r="M21" i="18"/>
  <c r="M24" i="18"/>
  <c r="L22" i="29"/>
  <c r="M22" i="29"/>
  <c r="M26" i="29" s="1"/>
  <c r="K26" i="29"/>
  <c r="M11" i="18"/>
  <c r="L26" i="29"/>
  <c r="L22" i="18"/>
  <c r="L26" i="18" s="1"/>
  <c r="K22" i="18"/>
  <c r="K26" i="18" s="1"/>
  <c r="J26" i="18"/>
  <c r="P25" i="33" l="1"/>
  <c r="J16" i="8"/>
  <c r="I35" i="42"/>
  <c r="L39" i="40"/>
  <c r="P39" i="41"/>
  <c r="T25" i="33"/>
  <c r="O35" i="41"/>
  <c r="O38" i="41" s="1"/>
  <c r="K35" i="41"/>
  <c r="O7" i="32"/>
  <c r="K7" i="32"/>
  <c r="M36" i="29"/>
  <c r="M39" i="29" s="1"/>
  <c r="L36" i="29"/>
  <c r="L39" i="29" s="1"/>
  <c r="K39" i="29"/>
  <c r="K17" i="31"/>
  <c r="O17" i="31"/>
  <c r="P17" i="31"/>
  <c r="H18" i="34"/>
  <c r="I18" i="34" s="1"/>
  <c r="J18" i="34" s="1"/>
  <c r="M17" i="39"/>
  <c r="N17" i="39" s="1"/>
  <c r="L17" i="39"/>
  <c r="O7" i="31"/>
  <c r="K7" i="31"/>
  <c r="M38" i="37"/>
  <c r="M39" i="37" s="1"/>
  <c r="N22" i="32"/>
  <c r="L18" i="41"/>
  <c r="M18" i="41"/>
  <c r="N18" i="41" s="1"/>
  <c r="P18" i="32"/>
  <c r="K18" i="32"/>
  <c r="N33" i="40"/>
  <c r="N17" i="40"/>
  <c r="L7" i="41"/>
  <c r="L26" i="41" s="1"/>
  <c r="M7" i="41"/>
  <c r="K26" i="41"/>
  <c r="O35" i="39"/>
  <c r="O38" i="39" s="1"/>
  <c r="O39" i="39" s="1"/>
  <c r="L24" i="33" s="1"/>
  <c r="K35" i="39"/>
  <c r="U23" i="33"/>
  <c r="P39" i="40"/>
  <c r="T24" i="33"/>
  <c r="H18" i="35"/>
  <c r="I18" i="35" s="1"/>
  <c r="J18" i="35" s="1"/>
  <c r="O17" i="32"/>
  <c r="P17" i="32"/>
  <c r="P26" i="32" s="1"/>
  <c r="P40" i="32" s="1"/>
  <c r="I5" i="33" s="1"/>
  <c r="K17" i="32"/>
  <c r="K17" i="42"/>
  <c r="O17" i="42"/>
  <c r="P17" i="42"/>
  <c r="P26" i="42" s="1"/>
  <c r="L17" i="41"/>
  <c r="M17" i="41"/>
  <c r="L18" i="39"/>
  <c r="N18" i="39" s="1"/>
  <c r="M18" i="39"/>
  <c r="O7" i="42"/>
  <c r="K7" i="42"/>
  <c r="O26" i="41"/>
  <c r="O39" i="41" s="1"/>
  <c r="M25" i="33" s="1"/>
  <c r="P26" i="39"/>
  <c r="I36" i="31"/>
  <c r="R24" i="33"/>
  <c r="R27" i="33" s="1"/>
  <c r="H4" i="33"/>
  <c r="B21" i="8"/>
  <c r="H16" i="8"/>
  <c r="M26" i="40"/>
  <c r="C24" i="33" s="1"/>
  <c r="G16" i="8"/>
  <c r="T35" i="8"/>
  <c r="M15" i="41"/>
  <c r="L15" i="41"/>
  <c r="M7" i="39"/>
  <c r="L7" i="39"/>
  <c r="L26" i="39" s="1"/>
  <c r="N7" i="39"/>
  <c r="K26" i="39"/>
  <c r="K18" i="42"/>
  <c r="P18" i="42"/>
  <c r="N18" i="40"/>
  <c r="I36" i="32"/>
  <c r="H5" i="33"/>
  <c r="R25" i="33"/>
  <c r="O40" i="29"/>
  <c r="F3" i="33" s="1"/>
  <c r="O18" i="31"/>
  <c r="O18" i="32" s="1"/>
  <c r="K18" i="31"/>
  <c r="P18" i="31"/>
  <c r="T27" i="33"/>
  <c r="T26" i="33"/>
  <c r="B28" i="8"/>
  <c r="N7" i="40"/>
  <c r="N26" i="40" s="1"/>
  <c r="P27" i="33"/>
  <c r="N35" i="40"/>
  <c r="N38" i="40" s="1"/>
  <c r="F24" i="33"/>
  <c r="N22" i="37"/>
  <c r="N26" i="37" s="1"/>
  <c r="N39" i="37" s="1"/>
  <c r="J23" i="33" s="1"/>
  <c r="L39" i="37"/>
  <c r="C23" i="33"/>
  <c r="K39" i="37"/>
  <c r="N22" i="36"/>
  <c r="N26" i="36" s="1"/>
  <c r="N39" i="36" s="1"/>
  <c r="I23" i="33" s="1"/>
  <c r="B23" i="33"/>
  <c r="M21" i="35"/>
  <c r="M22" i="34"/>
  <c r="M10" i="34"/>
  <c r="M21" i="34"/>
  <c r="M10" i="35"/>
  <c r="N22" i="31"/>
  <c r="L40" i="29"/>
  <c r="M40" i="29"/>
  <c r="N22" i="29"/>
  <c r="N26" i="29" s="1"/>
  <c r="C3" i="33"/>
  <c r="K40" i="29"/>
  <c r="B3" i="33"/>
  <c r="M22" i="18"/>
  <c r="M26" i="18" s="1"/>
  <c r="C14" i="33" s="1"/>
  <c r="L27" i="18"/>
  <c r="B14" i="33" s="1"/>
  <c r="N24" i="33" l="1"/>
  <c r="M39" i="40"/>
  <c r="O36" i="31"/>
  <c r="O39" i="31" s="1"/>
  <c r="K36" i="31"/>
  <c r="L7" i="42"/>
  <c r="M7" i="42"/>
  <c r="K26" i="42"/>
  <c r="M7" i="31"/>
  <c r="M26" i="31" s="1"/>
  <c r="L7" i="31"/>
  <c r="K26" i="31"/>
  <c r="M17" i="31"/>
  <c r="N17" i="31" s="1"/>
  <c r="L17" i="31"/>
  <c r="N26" i="39"/>
  <c r="M26" i="33"/>
  <c r="M27" i="33"/>
  <c r="M28" i="33" s="1"/>
  <c r="L35" i="41"/>
  <c r="L38" i="41" s="1"/>
  <c r="L39" i="41" s="1"/>
  <c r="M35" i="41"/>
  <c r="M38" i="41" s="1"/>
  <c r="K38" i="41"/>
  <c r="F23" i="33"/>
  <c r="M18" i="31"/>
  <c r="L18" i="31"/>
  <c r="M18" i="42"/>
  <c r="L18" i="42"/>
  <c r="M26" i="39"/>
  <c r="S24" i="33"/>
  <c r="P39" i="39"/>
  <c r="O26" i="42"/>
  <c r="M17" i="42"/>
  <c r="L17" i="42"/>
  <c r="N17" i="42" s="1"/>
  <c r="K18" i="35"/>
  <c r="M18" i="35" s="1"/>
  <c r="M26" i="35" s="1"/>
  <c r="C16" i="33" s="1"/>
  <c r="L18" i="35"/>
  <c r="L26" i="35" s="1"/>
  <c r="J26" i="35"/>
  <c r="O26" i="31"/>
  <c r="O40" i="31" s="1"/>
  <c r="F4" i="33" s="1"/>
  <c r="K18" i="34"/>
  <c r="L18" i="34"/>
  <c r="J26" i="34"/>
  <c r="M7" i="32"/>
  <c r="L7" i="32"/>
  <c r="K26" i="32"/>
  <c r="P39" i="42"/>
  <c r="S25" i="33"/>
  <c r="U25" i="33" s="1"/>
  <c r="O35" i="42"/>
  <c r="O38" i="42" s="1"/>
  <c r="K35" i="42"/>
  <c r="N39" i="40"/>
  <c r="J24" i="33" s="1"/>
  <c r="K36" i="32"/>
  <c r="O36" i="32"/>
  <c r="O39" i="32" s="1"/>
  <c r="B24" i="33"/>
  <c r="D24" i="33" s="1"/>
  <c r="N15" i="41"/>
  <c r="K4" i="33"/>
  <c r="H7" i="33"/>
  <c r="N17" i="41"/>
  <c r="L17" i="32"/>
  <c r="M17" i="32"/>
  <c r="N17" i="32" s="1"/>
  <c r="M35" i="39"/>
  <c r="M38" i="39" s="1"/>
  <c r="K38" i="39"/>
  <c r="L35" i="39"/>
  <c r="N7" i="41"/>
  <c r="N26" i="41" s="1"/>
  <c r="M26" i="41"/>
  <c r="M39" i="41" s="1"/>
  <c r="M18" i="32"/>
  <c r="L18" i="32"/>
  <c r="N18" i="32" s="1"/>
  <c r="P26" i="31"/>
  <c r="P40" i="31" s="1"/>
  <c r="I4" i="33" s="1"/>
  <c r="N36" i="29"/>
  <c r="N39" i="29" s="1"/>
  <c r="O26" i="32"/>
  <c r="G23" i="33"/>
  <c r="D23" i="33"/>
  <c r="H23" i="33" s="1"/>
  <c r="K23" i="33"/>
  <c r="N40" i="29"/>
  <c r="E3" i="33" s="1"/>
  <c r="D3" i="33"/>
  <c r="C25" i="33" l="1"/>
  <c r="M36" i="31"/>
  <c r="M39" i="31" s="1"/>
  <c r="M40" i="31" s="1"/>
  <c r="L36" i="31"/>
  <c r="L39" i="31" s="1"/>
  <c r="K39" i="31"/>
  <c r="N7" i="32"/>
  <c r="N26" i="32" s="1"/>
  <c r="L26" i="32"/>
  <c r="K26" i="34"/>
  <c r="L27" i="34"/>
  <c r="B15" i="33" s="1"/>
  <c r="U24" i="33"/>
  <c r="S26" i="33"/>
  <c r="S27" i="33"/>
  <c r="F25" i="33"/>
  <c r="K40" i="31"/>
  <c r="M18" i="34"/>
  <c r="M26" i="34" s="1"/>
  <c r="C15" i="33" s="1"/>
  <c r="C17" i="33" s="1"/>
  <c r="L26" i="34"/>
  <c r="O40" i="32"/>
  <c r="F5" i="33" s="1"/>
  <c r="F7" i="33" s="1"/>
  <c r="N35" i="39"/>
  <c r="N38" i="39" s="1"/>
  <c r="N39" i="39" s="1"/>
  <c r="I24" i="33" s="1"/>
  <c r="L38" i="39"/>
  <c r="L39" i="39" s="1"/>
  <c r="M36" i="32"/>
  <c r="M39" i="32" s="1"/>
  <c r="L36" i="32"/>
  <c r="K39" i="32"/>
  <c r="M35" i="42"/>
  <c r="M38" i="42" s="1"/>
  <c r="L35" i="42"/>
  <c r="L38" i="42" s="1"/>
  <c r="K38" i="42"/>
  <c r="M26" i="32"/>
  <c r="M39" i="39"/>
  <c r="N18" i="31"/>
  <c r="N35" i="41"/>
  <c r="N38" i="41" s="1"/>
  <c r="N39" i="41" s="1"/>
  <c r="J25" i="33" s="1"/>
  <c r="N7" i="31"/>
  <c r="N26" i="31" s="1"/>
  <c r="M26" i="42"/>
  <c r="M39" i="42" s="1"/>
  <c r="I7" i="33"/>
  <c r="J7" i="33" s="1"/>
  <c r="I6" i="33"/>
  <c r="J6" i="33" s="1"/>
  <c r="K6" i="33" s="1"/>
  <c r="K40" i="32"/>
  <c r="K26" i="35"/>
  <c r="L27" i="35"/>
  <c r="B16" i="33" s="1"/>
  <c r="K39" i="39"/>
  <c r="K39" i="41"/>
  <c r="O39" i="42"/>
  <c r="L25" i="33" s="1"/>
  <c r="N18" i="42"/>
  <c r="L26" i="31"/>
  <c r="L40" i="31" s="1"/>
  <c r="N7" i="42"/>
  <c r="N26" i="42" s="1"/>
  <c r="L26" i="42"/>
  <c r="L39" i="42" s="1"/>
  <c r="O23" i="33"/>
  <c r="G3" i="33"/>
  <c r="J26" i="33" l="1"/>
  <c r="J27" i="33"/>
  <c r="K24" i="33"/>
  <c r="N25" i="33"/>
  <c r="L27" i="33"/>
  <c r="L28" i="33" s="1"/>
  <c r="L26" i="33"/>
  <c r="M40" i="32"/>
  <c r="F26" i="33"/>
  <c r="F27" i="33"/>
  <c r="F29" i="33" s="1"/>
  <c r="B17" i="33"/>
  <c r="C4" i="33"/>
  <c r="N39" i="42"/>
  <c r="I25" i="33" s="1"/>
  <c r="K25" i="33" s="1"/>
  <c r="O25" i="33" s="1"/>
  <c r="N35" i="42"/>
  <c r="N38" i="42" s="1"/>
  <c r="B25" i="33"/>
  <c r="N36" i="31"/>
  <c r="N39" i="31" s="1"/>
  <c r="N40" i="31" s="1"/>
  <c r="E4" i="33" s="1"/>
  <c r="C27" i="33"/>
  <c r="C26" i="33"/>
  <c r="U27" i="33"/>
  <c r="U26" i="33"/>
  <c r="E24" i="33"/>
  <c r="B5" i="33"/>
  <c r="K39" i="42"/>
  <c r="E25" i="33"/>
  <c r="G25" i="33" s="1"/>
  <c r="N36" i="32"/>
  <c r="N39" i="32" s="1"/>
  <c r="N40" i="32" s="1"/>
  <c r="E5" i="33" s="1"/>
  <c r="G5" i="33" s="1"/>
  <c r="L39" i="32"/>
  <c r="C5" i="33" s="1"/>
  <c r="F8" i="33"/>
  <c r="B4" i="33"/>
  <c r="F6" i="33"/>
  <c r="G4" i="33" l="1"/>
  <c r="E6" i="33"/>
  <c r="E7" i="33"/>
  <c r="O24" i="33"/>
  <c r="K26" i="33"/>
  <c r="K27" i="33"/>
  <c r="E27" i="33"/>
  <c r="E29" i="33" s="1"/>
  <c r="E26" i="33"/>
  <c r="G24" i="33"/>
  <c r="B27" i="33"/>
  <c r="B29" i="33" s="1"/>
  <c r="B26" i="33"/>
  <c r="C7" i="33"/>
  <c r="C6" i="33"/>
  <c r="I27" i="33"/>
  <c r="D5" i="33"/>
  <c r="L40" i="32"/>
  <c r="M29" i="33"/>
  <c r="C29" i="33"/>
  <c r="N26" i="33"/>
  <c r="N27" i="33"/>
  <c r="N28" i="33" s="1"/>
  <c r="D4" i="33"/>
  <c r="B7" i="33"/>
  <c r="F9" i="33" s="1"/>
  <c r="M4" i="33" s="1"/>
  <c r="B6" i="33"/>
  <c r="D25" i="33"/>
  <c r="I26" i="33"/>
  <c r="O26" i="33" l="1"/>
  <c r="O27" i="33"/>
  <c r="L29" i="33" s="1"/>
  <c r="D7" i="33"/>
  <c r="D6" i="33"/>
  <c r="D26" i="33"/>
  <c r="D27" i="33"/>
  <c r="H25" i="33"/>
  <c r="G26" i="33"/>
  <c r="G27" i="33"/>
  <c r="G29" i="33" s="1"/>
  <c r="H24" i="33"/>
  <c r="G6" i="33"/>
  <c r="G7" i="33"/>
  <c r="N29" i="33" l="1"/>
  <c r="D29" i="33"/>
  <c r="H27" i="33"/>
  <c r="H29" i="33" s="1"/>
  <c r="H26" i="33"/>
</calcChain>
</file>

<file path=xl/comments1.xml><?xml version="1.0" encoding="utf-8"?>
<comments xmlns="http://schemas.openxmlformats.org/spreadsheetml/2006/main">
  <authors>
    <author>JShweky</author>
    <author>ASingleton</author>
  </authors>
  <commentList>
    <comment ref="A2" authorId="0" shapeId="0">
      <text>
        <r>
          <rPr>
            <b/>
            <sz val="9"/>
            <color indexed="81"/>
            <rFont val="Tahoma"/>
            <family val="2"/>
          </rPr>
          <t>JShweky:</t>
        </r>
        <r>
          <rPr>
            <sz val="9"/>
            <color indexed="81"/>
            <rFont val="Tahoma"/>
            <family val="2"/>
          </rPr>
          <t xml:space="preserve">
may potentially require periodic testing (3-5 yrs?) which would affect cell D2</t>
        </r>
      </text>
    </comment>
    <comment ref="A3" authorId="0" shapeId="0">
      <text>
        <r>
          <rPr>
            <b/>
            <sz val="9"/>
            <color indexed="81"/>
            <rFont val="Tahoma"/>
            <family val="2"/>
          </rPr>
          <t>JShweky:</t>
        </r>
        <r>
          <rPr>
            <sz val="9"/>
            <color indexed="81"/>
            <rFont val="Tahoma"/>
            <family val="2"/>
          </rPr>
          <t xml:space="preserve">
Why didn't this cost go in the NSPS tables? Is this part of the 28 technical hours for Tier 1?</t>
        </r>
      </text>
    </comment>
    <comment ref="A7" authorId="1" shapeId="0">
      <text>
        <r>
          <rPr>
            <b/>
            <sz val="9"/>
            <color indexed="81"/>
            <rFont val="Tahoma"/>
            <family val="2"/>
          </rPr>
          <t>ASingleton:</t>
        </r>
        <r>
          <rPr>
            <sz val="9"/>
            <color indexed="81"/>
            <rFont val="Tahoma"/>
            <family val="2"/>
          </rPr>
          <t xml:space="preserve">
4 occurances per year</t>
        </r>
      </text>
    </comment>
    <comment ref="A8" authorId="1" shapeId="0">
      <text>
        <r>
          <rPr>
            <b/>
            <sz val="9"/>
            <color indexed="81"/>
            <rFont val="Tahoma"/>
            <family val="2"/>
          </rPr>
          <t>ASingleton:</t>
        </r>
        <r>
          <rPr>
            <sz val="9"/>
            <color indexed="81"/>
            <rFont val="Tahoma"/>
            <family val="2"/>
          </rPr>
          <t xml:space="preserve">
4 occurances per year</t>
        </r>
      </text>
    </comment>
    <comment ref="A9" authorId="1" shapeId="0">
      <text>
        <r>
          <rPr>
            <b/>
            <sz val="9"/>
            <color indexed="81"/>
            <rFont val="Tahoma"/>
            <family val="2"/>
          </rPr>
          <t>ASingleton:</t>
        </r>
        <r>
          <rPr>
            <sz val="9"/>
            <color indexed="81"/>
            <rFont val="Tahoma"/>
            <family val="2"/>
          </rPr>
          <t xml:space="preserve">
4 occurances per year</t>
        </r>
      </text>
    </comment>
    <comment ref="A10" authorId="1" shapeId="0">
      <text>
        <r>
          <rPr>
            <b/>
            <sz val="9"/>
            <color indexed="81"/>
            <rFont val="Tahoma"/>
            <family val="2"/>
          </rPr>
          <t>ASingleton:</t>
        </r>
        <r>
          <rPr>
            <sz val="9"/>
            <color indexed="81"/>
            <rFont val="Tahoma"/>
            <family val="2"/>
          </rPr>
          <t xml:space="preserve">
4 occurances per year</t>
        </r>
      </text>
    </comment>
    <comment ref="A12" authorId="1" shapeId="0">
      <text>
        <r>
          <rPr>
            <b/>
            <sz val="9"/>
            <color indexed="81"/>
            <rFont val="Tahoma"/>
            <family val="2"/>
          </rPr>
          <t>ASingleton:</t>
        </r>
        <r>
          <rPr>
            <sz val="9"/>
            <color indexed="81"/>
            <rFont val="Tahoma"/>
            <family val="2"/>
          </rPr>
          <t xml:space="preserve">
Only at 25% of sites that do not have a data logger, 4 occurances per year. Estimated based on 25% of total acreage.</t>
        </r>
      </text>
    </comment>
  </commentList>
</comments>
</file>

<file path=xl/comments2.xml><?xml version="1.0" encoding="utf-8"?>
<comments xmlns="http://schemas.openxmlformats.org/spreadsheetml/2006/main">
  <authors>
    <author>JShweky</author>
  </authors>
  <commentList>
    <comment ref="B7" authorId="0" shapeId="0">
      <text>
        <r>
          <rPr>
            <b/>
            <sz val="9"/>
            <color indexed="81"/>
            <rFont val="Tahoma"/>
            <family val="2"/>
          </rPr>
          <t>JShweky:</t>
        </r>
        <r>
          <rPr>
            <sz val="9"/>
            <color indexed="81"/>
            <rFont val="Tahoma"/>
            <family val="2"/>
          </rPr>
          <t xml:space="preserve">
These differ from the table in rows L27:S31 because these numbers include greenfields while the table doesn't</t>
        </r>
      </text>
    </comment>
    <comment ref="F9" authorId="0" shapeId="0">
      <text>
        <r>
          <rPr>
            <b/>
            <sz val="9"/>
            <color indexed="81"/>
            <rFont val="Tahoma"/>
            <family val="2"/>
          </rPr>
          <t>JShweky:</t>
        </r>
        <r>
          <rPr>
            <sz val="9"/>
            <color indexed="81"/>
            <rFont val="Tahoma"/>
            <family val="2"/>
          </rPr>
          <t xml:space="preserve">
For yr 2, took the difference between year 1&amp;2 reporting but not controlling; for yr 3, differnce was negative so made 0</t>
        </r>
      </text>
    </comment>
    <comment ref="G9" authorId="0" shapeId="0">
      <text>
        <r>
          <rPr>
            <b/>
            <sz val="9"/>
            <color indexed="81"/>
            <rFont val="Tahoma"/>
            <family val="2"/>
          </rPr>
          <t>JShweky:</t>
        </r>
        <r>
          <rPr>
            <sz val="9"/>
            <color indexed="81"/>
            <rFont val="Tahoma"/>
            <family val="2"/>
          </rPr>
          <t xml:space="preserve">
For yr 2, took the difference between year 1&amp;2 reporting but not controlling; for yr 3, differnce was negative so made 0</t>
        </r>
      </text>
    </comment>
    <comment ref="H9" authorId="0" shapeId="0">
      <text>
        <r>
          <rPr>
            <b/>
            <sz val="9"/>
            <color indexed="81"/>
            <rFont val="Tahoma"/>
            <family val="2"/>
          </rPr>
          <t>JShweky:</t>
        </r>
        <r>
          <rPr>
            <sz val="9"/>
            <color indexed="81"/>
            <rFont val="Tahoma"/>
            <family val="2"/>
          </rPr>
          <t xml:space="preserve">
For yr 2, took the difference between year 1&amp;2 reporting but not controlling; for yr 3, differnce was negative so made 0</t>
        </r>
      </text>
    </comment>
    <comment ref="I9" authorId="0" shapeId="0">
      <text>
        <r>
          <rPr>
            <b/>
            <sz val="9"/>
            <color indexed="81"/>
            <rFont val="Tahoma"/>
            <family val="2"/>
          </rPr>
          <t>JShweky:</t>
        </r>
        <r>
          <rPr>
            <sz val="9"/>
            <color indexed="81"/>
            <rFont val="Tahoma"/>
            <family val="2"/>
          </rPr>
          <t xml:space="preserve">
made 0 in tables</t>
        </r>
      </text>
    </comment>
    <comment ref="M9" authorId="0" shapeId="0">
      <text>
        <r>
          <rPr>
            <b/>
            <sz val="9"/>
            <color indexed="81"/>
            <rFont val="Tahoma"/>
            <family val="2"/>
          </rPr>
          <t>JShweky:</t>
        </r>
        <r>
          <rPr>
            <sz val="9"/>
            <color indexed="81"/>
            <rFont val="Tahoma"/>
            <family val="2"/>
          </rPr>
          <t xml:space="preserve">
This table only includes Mod so separate table for Greenfields</t>
        </r>
      </text>
    </comment>
  </commentList>
</comments>
</file>

<file path=xl/comments3.xml><?xml version="1.0" encoding="utf-8"?>
<comments xmlns="http://schemas.openxmlformats.org/spreadsheetml/2006/main">
  <authors>
    <author>JShweky</author>
  </authors>
  <commentList>
    <comment ref="I2" authorId="0" shapeId="0">
      <text>
        <r>
          <rPr>
            <b/>
            <sz val="9"/>
            <color indexed="81"/>
            <rFont val="Tahoma"/>
            <family val="2"/>
          </rPr>
          <t>JShweky</t>
        </r>
      </text>
    </comment>
    <comment ref="U23" authorId="0" shapeId="0">
      <text>
        <r>
          <rPr>
            <b/>
            <sz val="9"/>
            <color indexed="81"/>
            <rFont val="Tahoma"/>
            <family val="2"/>
          </rPr>
          <t>JShweky:</t>
        </r>
        <r>
          <rPr>
            <sz val="9"/>
            <color indexed="81"/>
            <rFont val="Tahoma"/>
            <family val="2"/>
          </rPr>
          <t xml:space="preserve">
Includes reading rule?</t>
        </r>
      </text>
    </comment>
  </commentList>
</comments>
</file>

<file path=xl/comments4.xml><?xml version="1.0" encoding="utf-8"?>
<comments xmlns="http://schemas.openxmlformats.org/spreadsheetml/2006/main">
  <authors>
    <author>AS-StatePlan</author>
  </authors>
  <commentList>
    <comment ref="D18" authorId="0" shapeId="0">
      <text>
        <r>
          <rPr>
            <b/>
            <sz val="9"/>
            <color indexed="81"/>
            <rFont val="Tahoma"/>
            <family val="2"/>
          </rPr>
          <t>AS-StatePlan:</t>
        </r>
        <r>
          <rPr>
            <sz val="9"/>
            <color indexed="81"/>
            <rFont val="Tahoma"/>
            <family val="2"/>
          </rPr>
          <t xml:space="preserve">
edited because the 12 hours is counted in column C18 so this was double counting the labor before.</t>
        </r>
      </text>
    </comment>
  </commentList>
</comments>
</file>

<file path=xl/comments5.xml><?xml version="1.0" encoding="utf-8"?>
<comments xmlns="http://schemas.openxmlformats.org/spreadsheetml/2006/main">
  <authors>
    <author>AS-StatePlan</author>
    <author>JShweky</author>
  </authors>
  <commentList>
    <comment ref="O9" authorId="0" shapeId="0">
      <text>
        <r>
          <rPr>
            <b/>
            <sz val="9"/>
            <color indexed="81"/>
            <rFont val="Tahoma"/>
            <family val="2"/>
          </rPr>
          <t>AS-StatePlan:</t>
        </r>
        <r>
          <rPr>
            <sz val="9"/>
            <color indexed="81"/>
            <rFont val="Tahoma"/>
            <family val="2"/>
          </rPr>
          <t xml:space="preserve">
also have to add in annualized capital from year 1 since the capital applies each year when it is annualized.</t>
        </r>
      </text>
    </comment>
    <comment ref="D18" authorId="0" shapeId="0">
      <text>
        <r>
          <rPr>
            <b/>
            <sz val="9"/>
            <color indexed="81"/>
            <rFont val="Tahoma"/>
            <family val="2"/>
          </rPr>
          <t>AS-StatePlan:</t>
        </r>
        <r>
          <rPr>
            <sz val="9"/>
            <color indexed="81"/>
            <rFont val="Tahoma"/>
            <family val="2"/>
          </rPr>
          <t xml:space="preserve">
edited because the 12 hours is counted in column C18 so this was double counting the labor before.</t>
        </r>
      </text>
    </comment>
    <comment ref="O18" authorId="0" shapeId="0">
      <text>
        <r>
          <rPr>
            <b/>
            <sz val="9"/>
            <color indexed="81"/>
            <rFont val="Tahoma"/>
            <family val="2"/>
          </rPr>
          <t>AS-StatePlan:</t>
        </r>
        <r>
          <rPr>
            <sz val="9"/>
            <color indexed="81"/>
            <rFont val="Tahoma"/>
            <family val="2"/>
          </rPr>
          <t xml:space="preserve">
have to add in annualized capital from previous year.</t>
        </r>
      </text>
    </comment>
    <comment ref="B50" authorId="1" shapeId="0">
      <text>
        <r>
          <rPr>
            <b/>
            <sz val="9"/>
            <color indexed="81"/>
            <rFont val="Tahoma"/>
            <family val="2"/>
          </rPr>
          <t>JShweky:</t>
        </r>
        <r>
          <rPr>
            <sz val="9"/>
            <color indexed="81"/>
            <rFont val="Tahoma"/>
            <family val="2"/>
          </rPr>
          <t xml:space="preserve">
Adjust # in yrs 2&amp;3 footnote.</t>
        </r>
      </text>
    </comment>
  </commentList>
</comments>
</file>

<file path=xl/comments6.xml><?xml version="1.0" encoding="utf-8"?>
<comments xmlns="http://schemas.openxmlformats.org/spreadsheetml/2006/main">
  <authors>
    <author>AS-StatePlan</author>
  </authors>
  <commentList>
    <comment ref="O9" authorId="0" shapeId="0">
      <text>
        <r>
          <rPr>
            <b/>
            <sz val="9"/>
            <color indexed="81"/>
            <rFont val="Tahoma"/>
            <family val="2"/>
          </rPr>
          <t>AS-StatePlan:</t>
        </r>
        <r>
          <rPr>
            <sz val="9"/>
            <color indexed="81"/>
            <rFont val="Tahoma"/>
            <family val="2"/>
          </rPr>
          <t xml:space="preserve">
also have to add in annualized capital from year 1 since the capital applies each year when it is annualized.</t>
        </r>
      </text>
    </comment>
  </commentList>
</comments>
</file>

<file path=xl/comments7.xml><?xml version="1.0" encoding="utf-8"?>
<comments xmlns="http://schemas.openxmlformats.org/spreadsheetml/2006/main">
  <authors>
    <author>AS-StatePlan</author>
  </authors>
  <commentList>
    <comment ref="O9" authorId="0" shapeId="0">
      <text>
        <r>
          <rPr>
            <b/>
            <sz val="9"/>
            <color indexed="81"/>
            <rFont val="Tahoma"/>
            <family val="2"/>
          </rPr>
          <t>AS-StatePlan:</t>
        </r>
        <r>
          <rPr>
            <sz val="9"/>
            <color indexed="81"/>
            <rFont val="Tahoma"/>
            <family val="2"/>
          </rPr>
          <t xml:space="preserve">
also have to add in annualized capital from year 1 since the capital applies each year when it is annualized.</t>
        </r>
      </text>
    </comment>
  </commentList>
</comments>
</file>

<file path=xl/comments8.xml><?xml version="1.0" encoding="utf-8"?>
<comments xmlns="http://schemas.openxmlformats.org/spreadsheetml/2006/main">
  <authors>
    <author>AS-StatePlan</author>
  </authors>
  <commentList>
    <comment ref="D18" authorId="0" shapeId="0">
      <text>
        <r>
          <rPr>
            <b/>
            <sz val="9"/>
            <color indexed="81"/>
            <rFont val="Tahoma"/>
            <family val="2"/>
          </rPr>
          <t>AS-StatePlan:</t>
        </r>
        <r>
          <rPr>
            <sz val="9"/>
            <color indexed="81"/>
            <rFont val="Tahoma"/>
            <family val="2"/>
          </rPr>
          <t xml:space="preserve">
edited because the 12 hours is counted in column C18 so this was double counting the labor before.</t>
        </r>
      </text>
    </comment>
  </commentList>
</comments>
</file>

<file path=xl/sharedStrings.xml><?xml version="1.0" encoding="utf-8"?>
<sst xmlns="http://schemas.openxmlformats.org/spreadsheetml/2006/main" count="5932" uniqueCount="1301">
  <si>
    <t>Total Number of Landfills Controlling LFG Emissions in Each Year of the 10-year period, by Option</t>
  </si>
  <si>
    <t>Control Parameters</t>
  </si>
  <si>
    <t>Landfill_ID</t>
  </si>
  <si>
    <t>Column Labels</t>
  </si>
  <si>
    <t>Grand Total</t>
  </si>
  <si>
    <t>Row Labels</t>
  </si>
  <si>
    <t>Count of Landfill_ID</t>
  </si>
  <si>
    <t>30 meter pattern</t>
  </si>
  <si>
    <t>RunID</t>
  </si>
  <si>
    <t>Acreage 2018</t>
  </si>
  <si>
    <t>30m Hours Per Monitoring Occurance</t>
  </si>
  <si>
    <t>30m Labor per year (4 occurances per year)</t>
  </si>
  <si>
    <t>30m Equipment Rental per year (4 occurances per year)</t>
  </si>
  <si>
    <t>[Reference 2014 Testing and Monitoring Costs Memo]</t>
  </si>
  <si>
    <t>List of Landfills Controlling in 2017</t>
  </si>
  <si>
    <t>Labor Rates</t>
  </si>
  <si>
    <t>Several of the testing and monitoring requirements require labor to complete the activities in addition to capital expenses for purchasing the monitoring equipment. This analysis assumes that a Civil Engineer or Civil Engineer Technician completes the testing and monitoring requirements of the proposed amendments. The mean hourly wage for these professions is presented in Table 2. The latest wage data are from May 2011, however wages have remained flat and the Employment Cost Index does not show any increase in wages between May 2011 and December 2012. The wage rates were adjusted to include benefits and office overhead related expenses in these professions.</t>
  </si>
  <si>
    <t>Table 2: Labor Rates used in Testing and Monitoring Cost Analysis</t>
  </si>
  <si>
    <t>Occupation</t>
  </si>
  <si>
    <t>Unloaded National Mean Wage Rate[1]</t>
  </si>
  <si>
    <t>Adjustment Factor</t>
  </si>
  <si>
    <t>Loaded Wage Rate</t>
  </si>
  <si>
    <t>Civil Engineer</t>
  </si>
  <si>
    <t>Civil Engineering Technician</t>
  </si>
  <si>
    <t>Cost per occurrence</t>
  </si>
  <si>
    <t>Reference</t>
  </si>
  <si>
    <t>Annualized cost</t>
  </si>
  <si>
    <t>CRF</t>
  </si>
  <si>
    <t>Initial Performance Tests</t>
  </si>
  <si>
    <t>(Method 25A, EPA Monitoring Cost Tool)</t>
  </si>
  <si>
    <t>15 years @ 7%i</t>
  </si>
  <si>
    <t>NMOC Test - Tier 1</t>
  </si>
  <si>
    <t>labor</t>
  </si>
  <si>
    <t>n/a - annual item</t>
  </si>
  <si>
    <t>NMOC Test - Tier 2</t>
  </si>
  <si>
    <t>labor + (Method 25A, EPA Monitoring Cost Tool)</t>
  </si>
  <si>
    <t>5 years @ 7%i</t>
  </si>
  <si>
    <t>Hours per acre/occurance (25 foot pattern)</t>
  </si>
  <si>
    <t>http://www.arb.ca.gov/regact/2009/landfills09/appf.pdf</t>
  </si>
  <si>
    <t>Hours per acre/occurance (30 meter pattern)</t>
  </si>
  <si>
    <t xml:space="preserve">ratio of 25 feet to 30 meters </t>
  </si>
  <si>
    <t>Quarterly Surface Monitoring (labor only) $/hr</t>
  </si>
  <si>
    <t>http://www.arb.ca.gov/regact/2009/landfills09/appf.pdf plus updates to 2012 labor rates using USBLS</t>
  </si>
  <si>
    <t>Equipment Rental, $/day</t>
  </si>
  <si>
    <t>http://usenvironmental.com/air/fids/thermo-tva-1000b/</t>
  </si>
  <si>
    <t>Equipment Rental, $/week</t>
  </si>
  <si>
    <t>Equipment Rental, $/month</t>
  </si>
  <si>
    <t>Quarterly Improved Surface Maintenance ($/acre)</t>
  </si>
  <si>
    <t>http://www.arb.ca.gov/regact/2009/landfills09/appf.pdf (2008$, did not escalate as factor is presumably part labor and part materials, the portion of each type is unknown and labor costs are relatively flat during this period)</t>
  </si>
  <si>
    <t>Additional costs to transpose hand collected data from quarterly surface monitoring. (Hours per acre/occurance)</t>
  </si>
  <si>
    <t>Details of Surface Emissions Monitoring Costs for Landfills Controlling in 2017. These are technical hours.</t>
  </si>
  <si>
    <t>Rental per occurance</t>
  </si>
  <si>
    <t>Do all of these get annualized over the number of years? Or over 3 years?</t>
  </si>
  <si>
    <t>43-9061</t>
  </si>
  <si>
    <t>17-2051</t>
  </si>
  <si>
    <t>Occupation Code</t>
  </si>
  <si>
    <t>17-3022</t>
  </si>
  <si>
    <t>Office Clerks, General</t>
  </si>
  <si>
    <t>2011 Data</t>
  </si>
  <si>
    <t>Totals</t>
  </si>
  <si>
    <t>Recordkeeping Subtotal</t>
  </si>
  <si>
    <t>na</t>
  </si>
  <si>
    <t xml:space="preserve">     F.  Time for Audits</t>
  </si>
  <si>
    <t>k</t>
  </si>
  <si>
    <t xml:space="preserve">     E.  Personnel Training</t>
  </si>
  <si>
    <t>c</t>
  </si>
  <si>
    <t xml:space="preserve">     E.  Record Information</t>
  </si>
  <si>
    <t>e</t>
  </si>
  <si>
    <t xml:space="preserve">     D.  Develop Record System</t>
  </si>
  <si>
    <t xml:space="preserve">     C.  Implement Activities</t>
  </si>
  <si>
    <t xml:space="preserve">     B.  Plan Activities</t>
  </si>
  <si>
    <t>Included in 3a</t>
  </si>
  <si>
    <t xml:space="preserve">     A.  Read Instructions</t>
  </si>
  <si>
    <t>4.  Recordkeeping Requirements</t>
  </si>
  <si>
    <t>Reporting Subtotal</t>
  </si>
  <si>
    <t>a</t>
  </si>
  <si>
    <t xml:space="preserve">    E.  Report Preparation</t>
  </si>
  <si>
    <t xml:space="preserve">    D.  Gather Information</t>
  </si>
  <si>
    <t xml:space="preserve">    C.  Create Information </t>
  </si>
  <si>
    <t xml:space="preserve">           2.   Surface methane monitoring quarterly </t>
  </si>
  <si>
    <t xml:space="preserve">           1.   Initial performance test report </t>
  </si>
  <si>
    <t xml:space="preserve">    B.  Required Activities</t>
  </si>
  <si>
    <t xml:space="preserve">    A.  Read and Understand Rule Requirements</t>
  </si>
  <si>
    <t>3. Reporting Requirements</t>
  </si>
  <si>
    <t>2. Surveys and Studies</t>
  </si>
  <si>
    <t>1. Applications</t>
  </si>
  <si>
    <t>Annualized Capital/start-up O&amp;M</t>
  </si>
  <si>
    <t>Footnotes</t>
  </si>
  <si>
    <t>Burden Item</t>
  </si>
  <si>
    <t>Total</t>
  </si>
  <si>
    <t>no one will be doing the monitoring during this period, but in 2023 (for example) we could say the average acreage of controlled sites is estimated to be 79 acres under the co-proposed baseline option and 67 acres under the co-proposed option. We will use this to show what the line item costs/burden would be but we will show 0 respondents incurring this cost in 2015, 2016, and 2017. For the average acreage values, you can reference the 2014 Testing and Monitoring memo.</t>
  </si>
  <si>
    <t>Baseline</t>
  </si>
  <si>
    <t>Co-proposal</t>
  </si>
  <si>
    <t>Included in 3B</t>
  </si>
  <si>
    <t>CRF:</t>
  </si>
  <si>
    <t>Annualized labor</t>
  </si>
  <si>
    <t>FOOTNOTES</t>
  </si>
  <si>
    <t>b</t>
  </si>
  <si>
    <t>d</t>
  </si>
  <si>
    <t>f</t>
  </si>
  <si>
    <t>g</t>
  </si>
  <si>
    <t>h</t>
  </si>
  <si>
    <t>i</t>
  </si>
  <si>
    <t>j</t>
  </si>
  <si>
    <t>l</t>
  </si>
  <si>
    <t>m</t>
  </si>
  <si>
    <t>e, f</t>
  </si>
  <si>
    <t>n</t>
  </si>
  <si>
    <t>We have assumed that no controlled landfill will close or remove equipment during this ICR period.</t>
  </si>
  <si>
    <t>1. Initial design capacity report</t>
  </si>
  <si>
    <t>1. Records of control system monitoring</t>
  </si>
  <si>
    <t>3 days ($125/week)</t>
  </si>
  <si>
    <t>12 days($125/day)</t>
  </si>
  <si>
    <t>NY</t>
  </si>
  <si>
    <t/>
  </si>
  <si>
    <t>IA</t>
  </si>
  <si>
    <t>Campbell</t>
  </si>
  <si>
    <t>VA</t>
  </si>
  <si>
    <t>WV</t>
  </si>
  <si>
    <t>OK</t>
  </si>
  <si>
    <t># of facilities conducting a tier 2 test</t>
  </si>
  <si>
    <t>Managers, All Other</t>
  </si>
  <si>
    <t>52.11 + 110%(52.11)</t>
  </si>
  <si>
    <t>11-9199</t>
  </si>
  <si>
    <t>REPORTING</t>
  </si>
  <si>
    <t>RECORDKEEPING</t>
  </si>
  <si>
    <t>Annual Burden Hours</t>
  </si>
  <si>
    <t>Number of Respondents (Facilities)</t>
  </si>
  <si>
    <t>Number of Responses</t>
  </si>
  <si>
    <t>Annualized Capital/Start-up and O&amp;M</t>
  </si>
  <si>
    <t>Year 1</t>
  </si>
  <si>
    <t>Year 2</t>
  </si>
  <si>
    <t>Year 3</t>
  </si>
  <si>
    <t>Overall Average Annual Estimates</t>
  </si>
  <si>
    <t>Cost per Response</t>
  </si>
  <si>
    <t>Burden Hours per Response</t>
  </si>
  <si>
    <t>3- year period</t>
  </si>
  <si>
    <t>AGENCY</t>
  </si>
  <si>
    <t>Hours</t>
  </si>
  <si>
    <t>Costs (labor + travel)</t>
  </si>
  <si>
    <t>Trip Length</t>
  </si>
  <si>
    <t>Airfare</t>
  </si>
  <si>
    <t>Meals</t>
  </si>
  <si>
    <t>Hotel</t>
  </si>
  <si>
    <t>Per Diem Info</t>
  </si>
  <si>
    <t>Technical</t>
  </si>
  <si>
    <t>Clerical</t>
  </si>
  <si>
    <t>Managerial</t>
  </si>
  <si>
    <t>Agency Labor Rates</t>
  </si>
  <si>
    <t>TOTAL ANNUAL HOURS</t>
  </si>
  <si>
    <t>TOTAL BURDEN AND COST (SALARY)</t>
  </si>
  <si>
    <t>Travel Expenses for Tests Attended</t>
  </si>
  <si>
    <t>7.</t>
  </si>
  <si>
    <t>D.</t>
  </si>
  <si>
    <t>C.</t>
  </si>
  <si>
    <t>B.</t>
  </si>
  <si>
    <t>A.</t>
  </si>
  <si>
    <t>Reporting requirements</t>
  </si>
  <si>
    <t>6.</t>
  </si>
  <si>
    <t>Notification requirements</t>
  </si>
  <si>
    <t>5</t>
  </si>
  <si>
    <t>4</t>
  </si>
  <si>
    <t>Review continuous parameter monitoring</t>
  </si>
  <si>
    <t>F.</t>
  </si>
  <si>
    <t>Review operating parameters</t>
  </si>
  <si>
    <t>E.</t>
  </si>
  <si>
    <t>Required activities</t>
  </si>
  <si>
    <t>3.</t>
  </si>
  <si>
    <t>Enter and update information into agency recordkeeping system</t>
  </si>
  <si>
    <t>2.</t>
  </si>
  <si>
    <t>Read and understand rule requirements</t>
  </si>
  <si>
    <t>1.</t>
  </si>
  <si>
    <t>Clerical hours per year (F=Dx0.1)</t>
  </si>
  <si>
    <t>Technical hours per year (D=C)</t>
  </si>
  <si>
    <t>EPA hours per occurrence per year (C=AxB)</t>
  </si>
  <si>
    <t>Number of occurrences per year (B)</t>
  </si>
  <si>
    <t>EPA hours per occurrence (A)</t>
  </si>
  <si>
    <t>Observe initial performance test</t>
  </si>
  <si>
    <t xml:space="preserve">Observe surface methane monitoring quarterly </t>
  </si>
  <si>
    <t>Review initial design capacity report</t>
  </si>
  <si>
    <t>Review Collection and Control System Design Plan</t>
  </si>
  <si>
    <t>Excess Emissions Enforcement Activities</t>
  </si>
  <si>
    <t>Review annual NMOC emission rate report</t>
  </si>
  <si>
    <t>Review Annual Report</t>
  </si>
  <si>
    <t>Review landfill closure report</t>
  </si>
  <si>
    <t>Review equipment removal report</t>
  </si>
  <si>
    <t>G.</t>
  </si>
  <si>
    <t>Loaded rate</t>
  </si>
  <si>
    <t>Raw Rate</t>
  </si>
  <si>
    <t>Review Initial Performance Test</t>
  </si>
  <si>
    <t>ID</t>
  </si>
  <si>
    <t>STATE</t>
  </si>
  <si>
    <t>DESTINATION</t>
  </si>
  <si>
    <t>SEASON BEGIN</t>
  </si>
  <si>
    <t>SEASON END</t>
  </si>
  <si>
    <t>Standard CONUS rate applies to all counties not specifically listed. Cities not listed may be located in a listed county.</t>
  </si>
  <si>
    <t>AL</t>
  </si>
  <si>
    <t>Birmingham</t>
  </si>
  <si>
    <t>Gulf Shores</t>
  </si>
  <si>
    <t>Baldwin</t>
  </si>
  <si>
    <t>October 1</t>
  </si>
  <si>
    <t>May 31</t>
  </si>
  <si>
    <t>June 1</t>
  </si>
  <si>
    <t>July 31</t>
  </si>
  <si>
    <t>August 1</t>
  </si>
  <si>
    <t>September 30</t>
  </si>
  <si>
    <t>Huntsville</t>
  </si>
  <si>
    <t>Mobile</t>
  </si>
  <si>
    <t>December 31</t>
  </si>
  <si>
    <t>January 1</t>
  </si>
  <si>
    <t>February 28</t>
  </si>
  <si>
    <t>March 1</t>
  </si>
  <si>
    <t>AR</t>
  </si>
  <si>
    <t>Hot Springs</t>
  </si>
  <si>
    <t>Garland</t>
  </si>
  <si>
    <t>Little Rock</t>
  </si>
  <si>
    <t>Pulaski</t>
  </si>
  <si>
    <t>AZ</t>
  </si>
  <si>
    <t>Grand Canyon / Flagstaff</t>
  </si>
  <si>
    <t>Coconino / Yavapai less the city of Sedona</t>
  </si>
  <si>
    <t>October 31</t>
  </si>
  <si>
    <t>November 1</t>
  </si>
  <si>
    <t>Phoenix / Scottsdale</t>
  </si>
  <si>
    <t>Maricopa</t>
  </si>
  <si>
    <t>April 30</t>
  </si>
  <si>
    <t>May 1</t>
  </si>
  <si>
    <t>August 31</t>
  </si>
  <si>
    <t>September 1</t>
  </si>
  <si>
    <t>Sedona</t>
  </si>
  <si>
    <t>City Limits of Sedona</t>
  </si>
  <si>
    <t>Tucson</t>
  </si>
  <si>
    <t>Pima</t>
  </si>
  <si>
    <t>January 31</t>
  </si>
  <si>
    <t>February 1</t>
  </si>
  <si>
    <t>CA</t>
  </si>
  <si>
    <t>Antioch / Brentwood / Concord</t>
  </si>
  <si>
    <t>Contra Costa</t>
  </si>
  <si>
    <t>Bakersfield / Ridgecrest</t>
  </si>
  <si>
    <t>Barstow / Ontario / Victorville</t>
  </si>
  <si>
    <t>San Bernardino</t>
  </si>
  <si>
    <t>Death Valley</t>
  </si>
  <si>
    <t xml:space="preserve">Inyo </t>
  </si>
  <si>
    <t>Eureka / Arcata / McKinleyville</t>
  </si>
  <si>
    <t>Humboldt</t>
  </si>
  <si>
    <t>Fresno</t>
  </si>
  <si>
    <t>Los Angeles</t>
  </si>
  <si>
    <t>Mammoth Lakes</t>
  </si>
  <si>
    <t>Mono</t>
  </si>
  <si>
    <t>Mill Valley / San Rafael / Novato</t>
  </si>
  <si>
    <t>Marin</t>
  </si>
  <si>
    <t>Modesto</t>
  </si>
  <si>
    <t>Stanislaus</t>
  </si>
  <si>
    <t>Monterey</t>
  </si>
  <si>
    <t>June 30</t>
  </si>
  <si>
    <t>July 1</t>
  </si>
  <si>
    <t>Napa</t>
  </si>
  <si>
    <t>November 30</t>
  </si>
  <si>
    <t>December 1</t>
  </si>
  <si>
    <t>March 31</t>
  </si>
  <si>
    <t>April 1</t>
  </si>
  <si>
    <t>Oakhurst</t>
  </si>
  <si>
    <t xml:space="preserve">Madera </t>
  </si>
  <si>
    <t>Oakland</t>
  </si>
  <si>
    <t>Alameda</t>
  </si>
  <si>
    <t>Palm Springs</t>
  </si>
  <si>
    <t>Riverside</t>
  </si>
  <si>
    <t>Point Arena / Gualala</t>
  </si>
  <si>
    <t>Mendocino</t>
  </si>
  <si>
    <t>Redding</t>
  </si>
  <si>
    <t>Shasta</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</si>
  <si>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</si>
  <si>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</si>
  <si>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</si>
  <si>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</si>
  <si>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</si>
  <si>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</si>
  <si>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</si>
  <si>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</si>
  <si>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</si>
  <si>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</si>
  <si>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</si>
  <si>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</si>
  <si>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</si>
  <si>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</si>
  <si>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</si>
  <si>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</si>
  <si>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</si>
  <si>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</si>
  <si>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</si>
  <si>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</si>
  <si>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</si>
  <si>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</si>
  <si>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 / Lemoore</t>
  </si>
  <si>
    <t>West Sacramento / Davis</t>
  </si>
  <si>
    <t>Yolo</t>
  </si>
  <si>
    <t>Yosemite National Park</t>
  </si>
  <si>
    <t>Mariposa</t>
  </si>
  <si>
    <t>CO</t>
  </si>
  <si>
    <t>Aspen</t>
  </si>
  <si>
    <t>Pitkin</t>
  </si>
  <si>
    <t>Boulder / Broomfield</t>
  </si>
  <si>
    <t>Colorado Springs</t>
  </si>
  <si>
    <t>El Paso</t>
  </si>
  <si>
    <t>Cortez</t>
  </si>
  <si>
    <t>Montezuma</t>
  </si>
  <si>
    <t>Crested Butte / Gunnison</t>
  </si>
  <si>
    <t>Gunnison</t>
  </si>
  <si>
    <t>Denver / Aurora</t>
  </si>
  <si>
    <t>Douglas</t>
  </si>
  <si>
    <t>Durango</t>
  </si>
  <si>
    <t>La Plata</t>
  </si>
  <si>
    <t>Fort Collins / Loveland</t>
  </si>
  <si>
    <t>Larimer</t>
  </si>
  <si>
    <t>Montrose</t>
  </si>
  <si>
    <t>Silverthorne / Breckenridge</t>
  </si>
  <si>
    <t>Summit</t>
  </si>
  <si>
    <t>Steamboat Springs</t>
  </si>
  <si>
    <t>Routt</t>
  </si>
  <si>
    <t>Telluride</t>
  </si>
  <si>
    <t>San Miguel</t>
  </si>
  <si>
    <t>Vail</t>
  </si>
  <si>
    <t>Eagle</t>
  </si>
  <si>
    <t>CT</t>
  </si>
  <si>
    <t>Bridgeport / Danbury</t>
  </si>
  <si>
    <t>Fairfield</t>
  </si>
  <si>
    <t>Cromwell / Old Saybrook</t>
  </si>
  <si>
    <t>Middlesex</t>
  </si>
  <si>
    <t>Hartford</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</si>
  <si>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</si>
  <si>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</si>
  <si>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</si>
  <si>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</si>
  <si>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</si>
  <si>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t>
  </si>
  <si>
    <t>DE</t>
  </si>
  <si>
    <t>Dover</t>
  </si>
  <si>
    <t>Kent</t>
  </si>
  <si>
    <t>Lewes</t>
  </si>
  <si>
    <t>Sussex</t>
  </si>
  <si>
    <t>Wilmington</t>
  </si>
  <si>
    <t>New Castle</t>
  </si>
  <si>
    <t>FL</t>
  </si>
  <si>
    <t>Boca Raton / Delray Beach / Jupiter</t>
  </si>
  <si>
    <t>Palm Beach / Hendry</t>
  </si>
  <si>
    <t>Bradenton</t>
  </si>
  <si>
    <t>Manatee</t>
  </si>
  <si>
    <t>Cocoa Beach</t>
  </si>
  <si>
    <t>Brevard</t>
  </si>
  <si>
    <t>Daytona Beach</t>
  </si>
  <si>
    <t>Volusia</t>
  </si>
  <si>
    <t>Fort Lauderdale</t>
  </si>
  <si>
    <t>Broward</t>
  </si>
  <si>
    <t>Fort Myers</t>
  </si>
  <si>
    <t>Lee</t>
  </si>
  <si>
    <t>Fort Walton Beach / De Funiak Springs</t>
  </si>
  <si>
    <t>Gainesville</t>
  </si>
  <si>
    <t>Alachua</t>
  </si>
  <si>
    <t>Gulf Breeze</t>
  </si>
  <si>
    <t>Key West</t>
  </si>
  <si>
    <t>Monroe</t>
  </si>
  <si>
    <t>Miami</t>
  </si>
  <si>
    <t>Miami-Dade</t>
  </si>
  <si>
    <t>Naples</t>
  </si>
  <si>
    <t>Collier</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</si>
  <si>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</si>
  <si>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</si>
  <si>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</si>
  <si>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</si>
  <si>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</si>
  <si>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</si>
  <si>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</si>
  <si>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</si>
  <si>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</si>
  <si>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</si>
  <si>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</si>
  <si>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</si>
  <si>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</si>
  <si>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</si>
  <si>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</si>
  <si>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</si>
  <si>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</si>
  <si>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</si>
  <si>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Vero Beach</t>
  </si>
  <si>
    <t>Indian River</t>
  </si>
  <si>
    <t>GA</t>
  </si>
  <si>
    <t>Athens</t>
  </si>
  <si>
    <t>Clarke</t>
  </si>
  <si>
    <t>Atlanta</t>
  </si>
  <si>
    <t>Augusta</t>
  </si>
  <si>
    <t>Richmond</t>
  </si>
  <si>
    <t>Jekyll Island / Brunswick</t>
  </si>
  <si>
    <t>Glynn</t>
  </si>
  <si>
    <t>Savannah</t>
  </si>
  <si>
    <t>Chatham</t>
  </si>
  <si>
    <t>Cedar Rapids</t>
  </si>
  <si>
    <t>Linn</t>
  </si>
  <si>
    <t>Dallas</t>
  </si>
  <si>
    <t>Des Moines</t>
  </si>
  <si>
    <t>Polk</t>
  </si>
  <si>
    <t>Bonner's Ferry / Sandpoint</t>
  </si>
  <si>
    <t>Bonner / Boundary / Shoshone</t>
  </si>
  <si>
    <t>Coeur d'Alene</t>
  </si>
  <si>
    <t>Kootenai</t>
  </si>
  <si>
    <t>Driggs / Idaho Falls</t>
  </si>
  <si>
    <t>Bonneville / Fremont / Teton</t>
  </si>
  <si>
    <t>Sun Valley / Ketchum</t>
  </si>
  <si>
    <t>IL</t>
  </si>
  <si>
    <t>Bolingbrook / Romeoville / Lemont</t>
  </si>
  <si>
    <t>Will</t>
  </si>
  <si>
    <t>Chicago</t>
  </si>
  <si>
    <t>Oak Brook Terrace</t>
  </si>
  <si>
    <t>Dupage</t>
  </si>
  <si>
    <t>O'Fallon / Fairview Heights / Collinsville</t>
  </si>
  <si>
    <t xml:space="preserve">Springfield </t>
  </si>
  <si>
    <t>Sangamon</t>
  </si>
  <si>
    <t>IN</t>
  </si>
  <si>
    <t xml:space="preserve">Bloomington </t>
  </si>
  <si>
    <t>Ft. Wayne</t>
  </si>
  <si>
    <t>Allen</t>
  </si>
  <si>
    <t>Hammond / Munster / Merrillville</t>
  </si>
  <si>
    <t>Lake</t>
  </si>
  <si>
    <t>Indianapolis / Carmel</t>
  </si>
  <si>
    <t>Lafayette / West Lafayette</t>
  </si>
  <si>
    <t>Tippecanoe</t>
  </si>
  <si>
    <t>South Bend</t>
  </si>
  <si>
    <t>St. Joseph</t>
  </si>
  <si>
    <t>KS</t>
  </si>
  <si>
    <t>Kansas City / Overland Park</t>
  </si>
  <si>
    <t>Wyandotte / Johnson / Leavenworth</t>
  </si>
  <si>
    <t>Wichita</t>
  </si>
  <si>
    <t>Sedgwick</t>
  </si>
  <si>
    <t>KY</t>
  </si>
  <si>
    <t>Boone</t>
  </si>
  <si>
    <t>Kenton</t>
  </si>
  <si>
    <t>Lexington</t>
  </si>
  <si>
    <t>Fayette</t>
  </si>
  <si>
    <t>Louisville</t>
  </si>
  <si>
    <t>Jefferson</t>
  </si>
  <si>
    <t>LA</t>
  </si>
  <si>
    <t>Alexandria / Leesville / Natchitoches</t>
  </si>
  <si>
    <t>Allen / Jefferson Davis / Natchitoches / Rapides / Vernon Parishes</t>
  </si>
  <si>
    <t>Baton Rouge</t>
  </si>
  <si>
    <t>East Baton Rouge Parish</t>
  </si>
  <si>
    <t>Covington / Slidell</t>
  </si>
  <si>
    <t>St. Tammany Parish</t>
  </si>
  <si>
    <t>New Orleans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</si>
  <si>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</si>
  <si>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</si>
  <si>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</si>
  <si>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</si>
  <si>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</si>
  <si>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</si>
  <si>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</si>
  <si>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</si>
  <si>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</si>
  <si>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</si>
  <si>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</si>
  <si>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</si>
  <si>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</si>
  <si>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</si>
  <si>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</si>
  <si>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</si>
  <si>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</si>
  <si>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</si>
  <si>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</si>
  <si>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</si>
  <si>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</si>
  <si>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</si>
  <si>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</si>
  <si>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</si>
  <si>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</si>
  <si>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</si>
  <si>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</si>
  <si>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</si>
  <si>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</si>
  <si>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</si>
  <si>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 City</t>
  </si>
  <si>
    <t>Baltimore County</t>
  </si>
  <si>
    <t>Baltimore</t>
  </si>
  <si>
    <t>Cambridge / St. Michaels</t>
  </si>
  <si>
    <t>Centreville</t>
  </si>
  <si>
    <t>Queen Anne</t>
  </si>
  <si>
    <t>Columbia</t>
  </si>
  <si>
    <t>Howard</t>
  </si>
  <si>
    <t>Frederick</t>
  </si>
  <si>
    <t>Lexington Park / Leonardtown / Lusby</t>
  </si>
  <si>
    <t>Ocean City</t>
  </si>
  <si>
    <t>ME</t>
  </si>
  <si>
    <t>Bar Harbor</t>
  </si>
  <si>
    <t>Hancock</t>
  </si>
  <si>
    <t>Kennebunk / Kittery / Sanford</t>
  </si>
  <si>
    <t xml:space="preserve">York </t>
  </si>
  <si>
    <t>Portland</t>
  </si>
  <si>
    <t>Cumberland / Sagadahoc</t>
  </si>
  <si>
    <t>Rockport</t>
  </si>
  <si>
    <t>Knox</t>
  </si>
  <si>
    <t>MI</t>
  </si>
  <si>
    <t>Ann Arbor</t>
  </si>
  <si>
    <t>Washtenaw</t>
  </si>
  <si>
    <t>Benton Harbor / St. Joseph / Stevensville</t>
  </si>
  <si>
    <t xml:space="preserve">Berrien </t>
  </si>
  <si>
    <t>Detroit</t>
  </si>
  <si>
    <t>Wayne</t>
  </si>
  <si>
    <t>East Lansing / Lansing</t>
  </si>
  <si>
    <t>Grand Rapids</t>
  </si>
  <si>
    <t>Holland</t>
  </si>
  <si>
    <t>Ottawa</t>
  </si>
  <si>
    <t xml:space="preserve">Kalamazoo / Battle Creek </t>
  </si>
  <si>
    <t>Kalamazoo / Calhoun</t>
  </si>
  <si>
    <t>Mackinac Island</t>
  </si>
  <si>
    <t>Mackinac</t>
  </si>
  <si>
    <t>Midland</t>
  </si>
  <si>
    <t>Muskegon</t>
  </si>
  <si>
    <t>Petoskey</t>
  </si>
  <si>
    <t>Emmet</t>
  </si>
  <si>
    <t xml:space="preserve">Pontiac / Auburn Hills </t>
  </si>
  <si>
    <t>South Haven</t>
  </si>
  <si>
    <t>Van Buren</t>
  </si>
  <si>
    <t>MN</t>
  </si>
  <si>
    <t>Duluth</t>
  </si>
  <si>
    <t>St. Louis</t>
  </si>
  <si>
    <t>Eagan / Burnsville / Mendota Heights</t>
  </si>
  <si>
    <t>Dakota</t>
  </si>
  <si>
    <t>Minneapolis / St. Paul</t>
  </si>
  <si>
    <t>Rochester</t>
  </si>
  <si>
    <t>Olmsted</t>
  </si>
  <si>
    <t>MO</t>
  </si>
  <si>
    <t>Kansas City</t>
  </si>
  <si>
    <t>MS</t>
  </si>
  <si>
    <t>Hattiesburg</t>
  </si>
  <si>
    <t>Oxford</t>
  </si>
  <si>
    <t>Lafayette</t>
  </si>
  <si>
    <t>Southaven</t>
  </si>
  <si>
    <t>Desoto</t>
  </si>
  <si>
    <t xml:space="preserve">Starkville </t>
  </si>
  <si>
    <t>Oktibbeha</t>
  </si>
  <si>
    <t>MT</t>
  </si>
  <si>
    <t>Big Sky / West Yellowstone</t>
  </si>
  <si>
    <t>Gallatin</t>
  </si>
  <si>
    <t>Butte</t>
  </si>
  <si>
    <t>Silver Bow</t>
  </si>
  <si>
    <t>Glendive / Sidney</t>
  </si>
  <si>
    <t>Dawson / Richland</t>
  </si>
  <si>
    <t>Helena</t>
  </si>
  <si>
    <t>Lewis and Clark</t>
  </si>
  <si>
    <t>Missoula / Polson / Kalispell</t>
  </si>
  <si>
    <t>Missoula / Lake / Flathead</t>
  </si>
  <si>
    <t>NC</t>
  </si>
  <si>
    <t xml:space="preserve">Asheville </t>
  </si>
  <si>
    <t>Buncombe</t>
  </si>
  <si>
    <t>Atlantic Beach / Morehead City</t>
  </si>
  <si>
    <t>Carteret</t>
  </si>
  <si>
    <t>Chapel Hill</t>
  </si>
  <si>
    <t>Mecklenburg</t>
  </si>
  <si>
    <t>Durham</t>
  </si>
  <si>
    <t>Fayetteville</t>
  </si>
  <si>
    <t>Cumberland</t>
  </si>
  <si>
    <t>Greensboro</t>
  </si>
  <si>
    <t>Guilford</t>
  </si>
  <si>
    <t>Kill Devil</t>
  </si>
  <si>
    <t>Dare</t>
  </si>
  <si>
    <t>New Bern / Havelock</t>
  </si>
  <si>
    <t xml:space="preserve">Craven </t>
  </si>
  <si>
    <t>Raleigh</t>
  </si>
  <si>
    <t>Wake</t>
  </si>
  <si>
    <t>New Hanover</t>
  </si>
  <si>
    <t>ND</t>
  </si>
  <si>
    <t>Dickinson / Beulah</t>
  </si>
  <si>
    <t>Minot</t>
  </si>
  <si>
    <t>Williston</t>
  </si>
  <si>
    <t>NE</t>
  </si>
  <si>
    <t>Omaha</t>
  </si>
  <si>
    <t>NH</t>
  </si>
  <si>
    <t>Concord</t>
  </si>
  <si>
    <t>Merrimack</t>
  </si>
  <si>
    <t>Conway</t>
  </si>
  <si>
    <t>Caroll</t>
  </si>
  <si>
    <t>Strafford</t>
  </si>
  <si>
    <t>Laconia</t>
  </si>
  <si>
    <t>Belknap</t>
  </si>
  <si>
    <t>Lebanon / Lincoln / West Lebanon</t>
  </si>
  <si>
    <t xml:space="preserve">Grafton / Sullivan </t>
  </si>
  <si>
    <t>Manchester</t>
  </si>
  <si>
    <t>Hillsborough</t>
  </si>
  <si>
    <t>Portsmouth</t>
  </si>
  <si>
    <t>Rockingham</t>
  </si>
  <si>
    <t>NJ</t>
  </si>
  <si>
    <t>Atlantic City / Ocean City / Cape May</t>
  </si>
  <si>
    <t>Belle Mead</t>
  </si>
  <si>
    <t>Somerset</t>
  </si>
  <si>
    <t>Cherry Hill / Moorestown</t>
  </si>
  <si>
    <t>Eatontown / Freehold</t>
  </si>
  <si>
    <t>Monmouth</t>
  </si>
  <si>
    <t>Edison / Piscataway</t>
  </si>
  <si>
    <t xml:space="preserve">Middlesex </t>
  </si>
  <si>
    <t>Flemington</t>
  </si>
  <si>
    <t>Hunterdon</t>
  </si>
  <si>
    <t>Newark</t>
  </si>
  <si>
    <t>Parsippany</t>
  </si>
  <si>
    <t>Morris</t>
  </si>
  <si>
    <t>Princeton / Trenton</t>
  </si>
  <si>
    <t>Mercer</t>
  </si>
  <si>
    <t>Springfield / Cranford / New Providence</t>
  </si>
  <si>
    <t>Union</t>
  </si>
  <si>
    <t>Toms River</t>
  </si>
  <si>
    <t>Ocean</t>
  </si>
  <si>
    <t>NM</t>
  </si>
  <si>
    <t>Carlsbad</t>
  </si>
  <si>
    <t>Eddy</t>
  </si>
  <si>
    <t>Las Cruces</t>
  </si>
  <si>
    <t>Dona Ana</t>
  </si>
  <si>
    <t>Los Alamos</t>
  </si>
  <si>
    <t xml:space="preserve">Los Alamos </t>
  </si>
  <si>
    <t>Santa Fe</t>
  </si>
  <si>
    <t>Taos</t>
  </si>
  <si>
    <t>NV</t>
  </si>
  <si>
    <t>Incline Village / Reno / Sparks</t>
  </si>
  <si>
    <t>Washoe</t>
  </si>
  <si>
    <t>Las Vegas</t>
  </si>
  <si>
    <t>Clark</t>
  </si>
  <si>
    <t>Albany</t>
  </si>
  <si>
    <t>Binghamton / Owego</t>
  </si>
  <si>
    <t>Buffalo</t>
  </si>
  <si>
    <t>Erie</t>
  </si>
  <si>
    <t>Floral Park / Garden City / Great Neck</t>
  </si>
  <si>
    <t>Nassau</t>
  </si>
  <si>
    <t>Glens Falls</t>
  </si>
  <si>
    <t>Warren</t>
  </si>
  <si>
    <t>Ithaca / Waterloo / Romulus</t>
  </si>
  <si>
    <t>Kingston</t>
  </si>
  <si>
    <t>Ulster</t>
  </si>
  <si>
    <t>Lake Placid</t>
  </si>
  <si>
    <t>Niagara Falls</t>
  </si>
  <si>
    <t>Niagara</t>
  </si>
  <si>
    <t>Nyack / Palisades</t>
  </si>
  <si>
    <t>Rockland</t>
  </si>
  <si>
    <t>Poughkeepsie</t>
  </si>
  <si>
    <t>Dutchess</t>
  </si>
  <si>
    <t>Riverhead / Ronkonkoma / Melville</t>
  </si>
  <si>
    <t>Suffolk</t>
  </si>
  <si>
    <t>Saratoga Springs / Schenectady</t>
  </si>
  <si>
    <t>Syracuse / Oswego</t>
  </si>
  <si>
    <t>Tarrytown / White Plains / New Rochelle</t>
  </si>
  <si>
    <t>Westchester</t>
  </si>
  <si>
    <t xml:space="preserve">Troy </t>
  </si>
  <si>
    <t>Rensselaer</t>
  </si>
  <si>
    <t>Watertown</t>
  </si>
  <si>
    <t>West Point</t>
  </si>
  <si>
    <t>OH</t>
  </si>
  <si>
    <t>Akron</t>
  </si>
  <si>
    <t>Canton</t>
  </si>
  <si>
    <t>Stark</t>
  </si>
  <si>
    <t>Cincinnati</t>
  </si>
  <si>
    <t>Hamilton / Clermont</t>
  </si>
  <si>
    <t>Cleveland</t>
  </si>
  <si>
    <t>Cuyahoga</t>
  </si>
  <si>
    <t>Columbus</t>
  </si>
  <si>
    <t>Franklin</t>
  </si>
  <si>
    <t>Dayton / Fairborn</t>
  </si>
  <si>
    <t>Hamilton</t>
  </si>
  <si>
    <t>Medina / Wooster</t>
  </si>
  <si>
    <t>Mentor</t>
  </si>
  <si>
    <t>Sandusky / Bellevue</t>
  </si>
  <si>
    <t>Erie /  Huron</t>
  </si>
  <si>
    <t>Youngstown</t>
  </si>
  <si>
    <t>Enid</t>
  </si>
  <si>
    <t>Garfield</t>
  </si>
  <si>
    <t>Oklahoma City</t>
  </si>
  <si>
    <t>Oklahoma</t>
  </si>
  <si>
    <t>OR</t>
  </si>
  <si>
    <t>Beaverton</t>
  </si>
  <si>
    <t>Washington</t>
  </si>
  <si>
    <t>Bend</t>
  </si>
  <si>
    <t>Deschutes</t>
  </si>
  <si>
    <t>Clackamas</t>
  </si>
  <si>
    <t>Eugene / Florence</t>
  </si>
  <si>
    <t>Lane</t>
  </si>
  <si>
    <t>Lincoln City</t>
  </si>
  <si>
    <t>Lincoln</t>
  </si>
  <si>
    <t>Multnomah</t>
  </si>
  <si>
    <t>Seaside</t>
  </si>
  <si>
    <t>Clatsop</t>
  </si>
  <si>
    <t>PA</t>
  </si>
  <si>
    <t>Allentown / Easton / Bethlehem</t>
  </si>
  <si>
    <t>Bucks</t>
  </si>
  <si>
    <t>Chester / Radnor / Essington</t>
  </si>
  <si>
    <t>Delaware</t>
  </si>
  <si>
    <t>Gettysburg</t>
  </si>
  <si>
    <t>Adams</t>
  </si>
  <si>
    <t>Harrisburg</t>
  </si>
  <si>
    <t>Dauphin County excluding Hershey</t>
  </si>
  <si>
    <t>Hershey</t>
  </si>
  <si>
    <t>Lancaster</t>
  </si>
  <si>
    <t>Malvern / Frazer / Berwyn</t>
  </si>
  <si>
    <t>Chester</t>
  </si>
  <si>
    <t>Mechanicsburg</t>
  </si>
  <si>
    <t>Montgomery</t>
  </si>
  <si>
    <t>Philadelphia</t>
  </si>
  <si>
    <t>Pittsburgh</t>
  </si>
  <si>
    <t>Allegheny</t>
  </si>
  <si>
    <t>Reading</t>
  </si>
  <si>
    <t>Berks</t>
  </si>
  <si>
    <t>Scranton</t>
  </si>
  <si>
    <t>Lackawanna</t>
  </si>
  <si>
    <t xml:space="preserve">State College </t>
  </si>
  <si>
    <t>Centre</t>
  </si>
  <si>
    <t>RI</t>
  </si>
  <si>
    <t>East Greenwich / Warwick / North Kingstown</t>
  </si>
  <si>
    <t>Jamestown / Middletown / Newport</t>
  </si>
  <si>
    <t xml:space="preserve">Newport </t>
  </si>
  <si>
    <t>Providence / Bristol</t>
  </si>
  <si>
    <t>SC</t>
  </si>
  <si>
    <t>Aiken</t>
  </si>
  <si>
    <t>Charleston</t>
  </si>
  <si>
    <t>Richland / Lexington</t>
  </si>
  <si>
    <t>Hilton Head</t>
  </si>
  <si>
    <t>Beaufort</t>
  </si>
  <si>
    <t>Myrtle Beach</t>
  </si>
  <si>
    <t>Horry</t>
  </si>
  <si>
    <t>SD</t>
  </si>
  <si>
    <t>Rapid City</t>
  </si>
  <si>
    <t>Pennington</t>
  </si>
  <si>
    <t xml:space="preserve">Sturgis / Spearfish </t>
  </si>
  <si>
    <t>TN</t>
  </si>
  <si>
    <t>Brentwood / Franklin</t>
  </si>
  <si>
    <t>Williamson</t>
  </si>
  <si>
    <t xml:space="preserve">Chattanooga </t>
  </si>
  <si>
    <t>Knoxville</t>
  </si>
  <si>
    <t>Memphis</t>
  </si>
  <si>
    <t>Shelby</t>
  </si>
  <si>
    <t>Nashville</t>
  </si>
  <si>
    <t>Davidson</t>
  </si>
  <si>
    <t>Oak Ridge</t>
  </si>
  <si>
    <t>Anderson</t>
  </si>
  <si>
    <t>TX</t>
  </si>
  <si>
    <t>Arlington / Fort Worth / Grapevine</t>
  </si>
  <si>
    <t>Austin</t>
  </si>
  <si>
    <t>Travis</t>
  </si>
  <si>
    <t>Big Spring</t>
  </si>
  <si>
    <t>College Station</t>
  </si>
  <si>
    <t>Brazos</t>
  </si>
  <si>
    <t>Corpus Christi</t>
  </si>
  <si>
    <t>Nueces</t>
  </si>
  <si>
    <t>Galveston</t>
  </si>
  <si>
    <t>Greenville</t>
  </si>
  <si>
    <t>Hunt County</t>
  </si>
  <si>
    <t>Houston (L.B. Johnson Space Center)</t>
  </si>
  <si>
    <t>Laredo</t>
  </si>
  <si>
    <t>Webb</t>
  </si>
  <si>
    <t>McAllen</t>
  </si>
  <si>
    <t>Hidalgo</t>
  </si>
  <si>
    <t>Pearsall</t>
  </si>
  <si>
    <t>Plano</t>
  </si>
  <si>
    <t>Collin</t>
  </si>
  <si>
    <t xml:space="preserve">Round Rock </t>
  </si>
  <si>
    <t>San Antonio</t>
  </si>
  <si>
    <t>Bexar</t>
  </si>
  <si>
    <t>South Padre Island</t>
  </si>
  <si>
    <t>Cameron</t>
  </si>
  <si>
    <t>Waco</t>
  </si>
  <si>
    <t>McLennan</t>
  </si>
  <si>
    <t>UT</t>
  </si>
  <si>
    <t>Moab</t>
  </si>
  <si>
    <t>Grand</t>
  </si>
  <si>
    <t>Park City</t>
  </si>
  <si>
    <t>Provo</t>
  </si>
  <si>
    <t>Utah</t>
  </si>
  <si>
    <t>Salt Lake City</t>
  </si>
  <si>
    <t>Abingdon</t>
  </si>
  <si>
    <t>Blacksburg</t>
  </si>
  <si>
    <t>Charlottesville</t>
  </si>
  <si>
    <t>Fredericksburg</t>
  </si>
  <si>
    <t>City of Fredericksburg / Spotsylvania / Stafford / Caroline</t>
  </si>
  <si>
    <t>Loudoun</t>
  </si>
  <si>
    <t>Lynchburg</t>
  </si>
  <si>
    <t>Norfolk / Portsmouth</t>
  </si>
  <si>
    <t>City of Richmond</t>
  </si>
  <si>
    <t>Roanoke</t>
  </si>
  <si>
    <t>City limits of Roanoke</t>
  </si>
  <si>
    <t>Virginia Beach</t>
  </si>
  <si>
    <t>City of Virginia Beach</t>
  </si>
  <si>
    <t>Wallops Island</t>
  </si>
  <si>
    <t>Accomack</t>
  </si>
  <si>
    <t xml:space="preserve">Warrenton </t>
  </si>
  <si>
    <t>Fauquier</t>
  </si>
  <si>
    <t>Williamsburg / York</t>
  </si>
  <si>
    <t>VT</t>
  </si>
  <si>
    <t>Bennington</t>
  </si>
  <si>
    <t>Montpelier</t>
  </si>
  <si>
    <t xml:space="preserve">Stowe </t>
  </si>
  <si>
    <t>Lamoille</t>
  </si>
  <si>
    <t>White River Junction</t>
  </si>
  <si>
    <t>Windsor</t>
  </si>
  <si>
    <t>WA</t>
  </si>
  <si>
    <t>Anacortes / Coupeville / Oak Harbor</t>
  </si>
  <si>
    <t>Everett / Lynnwood</t>
  </si>
  <si>
    <t>Snohomish</t>
  </si>
  <si>
    <t>Ocean Shores</t>
  </si>
  <si>
    <t>Grays Harbor</t>
  </si>
  <si>
    <t>Olympia / Tumwater</t>
  </si>
  <si>
    <t>Thurston</t>
  </si>
  <si>
    <t>Port Angeles / Port Townsend</t>
  </si>
  <si>
    <t>Richland / Pasco</t>
  </si>
  <si>
    <t>Benton / Franklin</t>
  </si>
  <si>
    <t>Seattle</t>
  </si>
  <si>
    <t>King</t>
  </si>
  <si>
    <t>Spokane</t>
  </si>
  <si>
    <t>Tacoma</t>
  </si>
  <si>
    <t>Pierce</t>
  </si>
  <si>
    <t>Vancouver</t>
  </si>
  <si>
    <t>WI</t>
  </si>
  <si>
    <t>Appleton</t>
  </si>
  <si>
    <t>Outagamie</t>
  </si>
  <si>
    <t>Brookfield / Racine</t>
  </si>
  <si>
    <t>Waukesha / Racine</t>
  </si>
  <si>
    <t>Madison</t>
  </si>
  <si>
    <t>Dane</t>
  </si>
  <si>
    <t>Milwaukee</t>
  </si>
  <si>
    <t>Sheboygan</t>
  </si>
  <si>
    <t xml:space="preserve">Sheboygan </t>
  </si>
  <si>
    <t>Sturgeon Bay</t>
  </si>
  <si>
    <t>Door</t>
  </si>
  <si>
    <t>Wisconsin Dells</t>
  </si>
  <si>
    <t>Kanawha</t>
  </si>
  <si>
    <t>Morgantown</t>
  </si>
  <si>
    <t>Monongalia</t>
  </si>
  <si>
    <t>Shepherdstown</t>
  </si>
  <si>
    <t>Wheeling</t>
  </si>
  <si>
    <t>Ohio</t>
  </si>
  <si>
    <t>WY</t>
  </si>
  <si>
    <t>Cody</t>
  </si>
  <si>
    <t>Park</t>
  </si>
  <si>
    <t>Evanston / Rock Springs</t>
  </si>
  <si>
    <t>Sweetwater / Uinta</t>
  </si>
  <si>
    <t>Gillette</t>
  </si>
  <si>
    <t>Jackson / Pinedale</t>
  </si>
  <si>
    <t>(C) 
Number of Occurrences Per Respondent Per Year</t>
  </si>
  <si>
    <t>(E) Technical Hours per Respondent Per Year
 (A X C)</t>
  </si>
  <si>
    <r>
      <t xml:space="preserve">(K)  Total Labor Costs Per Year </t>
    </r>
    <r>
      <rPr>
        <vertAlign val="superscript"/>
        <sz val="7"/>
        <rFont val="Arial"/>
        <family val="2"/>
      </rPr>
      <t>b</t>
    </r>
  </si>
  <si>
    <t>(D) 
Civil Engineer Technician Hours per Respondent Per Year
 (A X C)</t>
  </si>
  <si>
    <t>(F) 
Number of Respondents Per Year</t>
  </si>
  <si>
    <t xml:space="preserve">Equipment Removal Report requires inclusion of 3 successive NMOC rates using Tier 2 calculations to demonstrate landfill is below the NMOC threshold. </t>
  </si>
  <si>
    <t>Includes only responses that are submitted as reports.</t>
  </si>
  <si>
    <r>
      <t>(A) Respondent Hours per Occurrence</t>
    </r>
    <r>
      <rPr>
        <vertAlign val="superscript"/>
        <sz val="7"/>
        <rFont val="Arial"/>
        <family val="2"/>
      </rPr>
      <t>a</t>
    </r>
  </si>
  <si>
    <r>
      <t>(M) Total Number of Responses per Year (C X F)</t>
    </r>
    <r>
      <rPr>
        <vertAlign val="superscript"/>
        <sz val="7"/>
        <rFont val="Arial"/>
        <family val="2"/>
      </rPr>
      <t>c</t>
    </r>
  </si>
  <si>
    <t>Review Revised Collection and Control System Design Plan</t>
  </si>
  <si>
    <t>H.</t>
  </si>
  <si>
    <t>Management hours per year (E=Dx0.05)</t>
  </si>
  <si>
    <t>Review notification of performance test</t>
  </si>
  <si>
    <t>b Number of occurrences is based on the total number of landfills that are subject to the standard as well as the number of sources that fall below the thresholds of the standard.</t>
  </si>
  <si>
    <r>
      <t xml:space="preserve">(H) Costs, $ </t>
    </r>
    <r>
      <rPr>
        <vertAlign val="superscript"/>
        <sz val="10"/>
        <rFont val="Arial"/>
        <family val="2"/>
      </rPr>
      <t>k</t>
    </r>
  </si>
  <si>
    <t>Table 1.A.  Annual Respondent Burden and Cost of Recordkeeping and Reporting Requirements for the Standards of Performance</t>
  </si>
  <si>
    <t>(N) Capital/Start-up Costs per occurence</t>
  </si>
  <si>
    <t>Baseline (2.5 design capacity/50 Mg/yr NMOC)</t>
  </si>
  <si>
    <t>Proposed option 2.5/40 (2.5 design capacity/40 Mg/yr NMOC)</t>
  </si>
  <si>
    <t>for Municipal Solid Waste Landfills - Subpart XXX - Year 1</t>
  </si>
  <si>
    <t>Acreage from query 13c Acreage of Controllers NSPS Model and Inventory 2025</t>
  </si>
  <si>
    <t>25-foot Traverse</t>
  </si>
  <si>
    <t>Annual_Acreage</t>
  </si>
  <si>
    <t>25f Hours Per Monitoring Occurance</t>
  </si>
  <si>
    <t>25f Days Per Monitoring Occurance</t>
  </si>
  <si>
    <t>25f Weeks per monitoring Occurance</t>
  </si>
  <si>
    <t>25f Months per monitoring Occurance</t>
  </si>
  <si>
    <t>25f Labor per year (4 occurances per year)</t>
  </si>
  <si>
    <t>25f Equipment Rental per year (4 occurances per year)</t>
  </si>
  <si>
    <t>30m Days Per Monitoring Occurance</t>
  </si>
  <si>
    <t>30m Weeks per monitoring Occurance</t>
  </si>
  <si>
    <t>30m Months per monitoring Occurance</t>
  </si>
  <si>
    <t xml:space="preserve">SCAQMD: Surface Maintenance per year (4 occurances per year) </t>
  </si>
  <si>
    <t>Calibration and Hydrogen Fuel for TVA1000b (Annual Costs)</t>
  </si>
  <si>
    <t>TOTAL T&amp;M for Controllers at 30-meter pattern</t>
  </si>
  <si>
    <t>For preamble discussion:</t>
  </si>
  <si>
    <t>1</t>
  </si>
  <si>
    <t>524982</t>
  </si>
  <si>
    <t>30-meter</t>
  </si>
  <si>
    <t>Average Hours per landfill under baseline, per occurance:</t>
  </si>
  <si>
    <t>525317</t>
  </si>
  <si>
    <t>25-foot</t>
  </si>
  <si>
    <t>523747</t>
  </si>
  <si>
    <t>525255</t>
  </si>
  <si>
    <t>525347</t>
  </si>
  <si>
    <t>523979</t>
  </si>
  <si>
    <t>527676</t>
  </si>
  <si>
    <t>523507</t>
  </si>
  <si>
    <t>524833</t>
  </si>
  <si>
    <t>524679</t>
  </si>
  <si>
    <t>527428</t>
  </si>
  <si>
    <t>524124</t>
  </si>
  <si>
    <t>523174</t>
  </si>
  <si>
    <t>525162</t>
  </si>
  <si>
    <t>525361</t>
  </si>
  <si>
    <t>525877</t>
  </si>
  <si>
    <t>522296</t>
  </si>
  <si>
    <t>522738</t>
  </si>
  <si>
    <t>525995</t>
  </si>
  <si>
    <t>522264</t>
  </si>
  <si>
    <t>525947</t>
  </si>
  <si>
    <t>524623</t>
  </si>
  <si>
    <t>524984</t>
  </si>
  <si>
    <t>523490</t>
  </si>
  <si>
    <t>524136</t>
  </si>
  <si>
    <t>525985</t>
  </si>
  <si>
    <t>528072</t>
  </si>
  <si>
    <t>522300</t>
  </si>
  <si>
    <t>525946</t>
  </si>
  <si>
    <t>524944</t>
  </si>
  <si>
    <t>527427</t>
  </si>
  <si>
    <t>522811</t>
  </si>
  <si>
    <t>526337</t>
  </si>
  <si>
    <t>526650</t>
  </si>
  <si>
    <t>524117</t>
  </si>
  <si>
    <t>525131</t>
  </si>
  <si>
    <t>522270</t>
  </si>
  <si>
    <t>524866</t>
  </si>
  <si>
    <t>523375</t>
  </si>
  <si>
    <t>524985</t>
  </si>
  <si>
    <t>530259</t>
  </si>
  <si>
    <t>266</t>
  </si>
  <si>
    <t>527806</t>
  </si>
  <si>
    <t>524620</t>
  </si>
  <si>
    <t>525134</t>
  </si>
  <si>
    <t>528470</t>
  </si>
  <si>
    <t>524681</t>
  </si>
  <si>
    <t>528699</t>
  </si>
  <si>
    <t>525140</t>
  </si>
  <si>
    <t>525172</t>
  </si>
  <si>
    <t>526424</t>
  </si>
  <si>
    <t>525185</t>
  </si>
  <si>
    <t>524948</t>
  </si>
  <si>
    <t>528397</t>
  </si>
  <si>
    <t>523383</t>
  </si>
  <si>
    <t>523841</t>
  </si>
  <si>
    <t>NSPS8</t>
  </si>
  <si>
    <t>523731</t>
  </si>
  <si>
    <t>527745</t>
  </si>
  <si>
    <t>522266</t>
  </si>
  <si>
    <t>522268</t>
  </si>
  <si>
    <t>535899</t>
  </si>
  <si>
    <t>524824</t>
  </si>
  <si>
    <t>523469</t>
  </si>
  <si>
    <t>523482</t>
  </si>
  <si>
    <t>524889</t>
  </si>
  <si>
    <t>524796</t>
  </si>
  <si>
    <t>525136</t>
  </si>
  <si>
    <t>526068</t>
  </si>
  <si>
    <t>526821</t>
  </si>
  <si>
    <t>525795</t>
  </si>
  <si>
    <t>NSPS7</t>
  </si>
  <si>
    <t>525965</t>
  </si>
  <si>
    <t>523369</t>
  </si>
  <si>
    <t>524621</t>
  </si>
  <si>
    <t>525539</t>
  </si>
  <si>
    <t>526246</t>
  </si>
  <si>
    <t>NSPS3</t>
  </si>
  <si>
    <t>525804</t>
  </si>
  <si>
    <t>525721</t>
  </si>
  <si>
    <t>N-AZ-3</t>
  </si>
  <si>
    <t>524842</t>
  </si>
  <si>
    <t>525166</t>
  </si>
  <si>
    <t>524491</t>
  </si>
  <si>
    <t>524840</t>
  </si>
  <si>
    <t>527678</t>
  </si>
  <si>
    <t>524950</t>
  </si>
  <si>
    <t>525164</t>
  </si>
  <si>
    <t>NSPS1</t>
  </si>
  <si>
    <t>527715</t>
  </si>
  <si>
    <t>524864</t>
  </si>
  <si>
    <t>527716</t>
  </si>
  <si>
    <t>524957</t>
  </si>
  <si>
    <t>NSPS6</t>
  </si>
  <si>
    <t>522526</t>
  </si>
  <si>
    <t>523487</t>
  </si>
  <si>
    <t>523067</t>
  </si>
  <si>
    <t>215</t>
  </si>
  <si>
    <t>526626</t>
  </si>
  <si>
    <t>524927</t>
  </si>
  <si>
    <t>524843</t>
  </si>
  <si>
    <t>524935</t>
  </si>
  <si>
    <t>525168</t>
  </si>
  <si>
    <t>524870</t>
  </si>
  <si>
    <t>524818</t>
  </si>
  <si>
    <t>522257</t>
  </si>
  <si>
    <t>524918</t>
  </si>
  <si>
    <t>525269</t>
  </si>
  <si>
    <t>528469</t>
  </si>
  <si>
    <t>528315</t>
  </si>
  <si>
    <t>522258</t>
  </si>
  <si>
    <t>523054</t>
  </si>
  <si>
    <t>13</t>
  </si>
  <si>
    <t>531797</t>
  </si>
  <si>
    <t>527713</t>
  </si>
  <si>
    <t>524875</t>
  </si>
  <si>
    <t>525149</t>
  </si>
  <si>
    <t>525687</t>
  </si>
  <si>
    <t>522814</t>
  </si>
  <si>
    <t>522273</t>
  </si>
  <si>
    <t>NSPS12</t>
  </si>
  <si>
    <t>522877</t>
  </si>
  <si>
    <t>524500</t>
  </si>
  <si>
    <t>523270</t>
  </si>
  <si>
    <t>NSPS11</t>
  </si>
  <si>
    <t>524968</t>
  </si>
  <si>
    <t>527957</t>
  </si>
  <si>
    <t>3</t>
  </si>
  <si>
    <t>7</t>
  </si>
  <si>
    <t>523060</t>
  </si>
  <si>
    <t>523990</t>
  </si>
  <si>
    <t>526642</t>
  </si>
  <si>
    <t>525055</t>
  </si>
  <si>
    <t>Mod</t>
  </si>
  <si>
    <t>Read Instructions (one time burden when landfill first becomes subject)</t>
  </si>
  <si>
    <t># of facilities controlling</t>
  </si>
  <si>
    <t># of facilities conducting Tier 1 test</t>
  </si>
  <si>
    <t># reporting and controlling</t>
  </si>
  <si>
    <t>EG/NSPS</t>
  </si>
  <si>
    <t>Annual_Gas_Year</t>
  </si>
  <si>
    <t>2013 Data</t>
  </si>
  <si>
    <t>Base Rate</t>
  </si>
  <si>
    <t>Overhead</t>
  </si>
  <si>
    <t>Loaded Rate</t>
  </si>
  <si>
    <t>41.17 + 110%(41.17)</t>
  </si>
  <si>
    <t>23.74 + 110%(23.74)</t>
  </si>
  <si>
    <t>http://www.bls.gov/oes/current/oes_nat.htm#17-0000 (May 2013)</t>
  </si>
  <si>
    <t>14.42 + 110%(14.42)</t>
  </si>
  <si>
    <t>http://www.bls.gov/oes/2013/may/oes_nat.htm#17-0000</t>
  </si>
  <si>
    <t>[1] US Bureau of Labor and Statistics. May 2013 Occupational Employment Statistics. http:/stat.bls.gov/oes/home.htm</t>
  </si>
  <si>
    <t>Teton / Sublette</t>
  </si>
  <si>
    <t>Clark / Cowlitz / Skamania</t>
  </si>
  <si>
    <t>Clallam / Jefferson</t>
  </si>
  <si>
    <t xml:space="preserve">Skagit / Island / San Juan </t>
  </si>
  <si>
    <t>Chittenden / Franklin / Addison</t>
  </si>
  <si>
    <t>Burlington / St. Albans / Middlebury</t>
  </si>
  <si>
    <t>James City / York Counties / City of Williamsburg</t>
  </si>
  <si>
    <t>Prince William / City of Manassas</t>
  </si>
  <si>
    <t>Prince William / Manassas</t>
  </si>
  <si>
    <t>Cities of Norfolk / Portsmouth</t>
  </si>
  <si>
    <t>Campbell / Lynchburg City</t>
  </si>
  <si>
    <t>City of Charlottesville / Albemarle / Greene</t>
  </si>
  <si>
    <t>Salt Lake / Tooele</t>
  </si>
  <si>
    <t>Tom Green</t>
  </si>
  <si>
    <t>San Angelo</t>
  </si>
  <si>
    <t>Frio / Medina / La Salle</t>
  </si>
  <si>
    <t>Montgomery / Fort Bend / Harris</t>
  </si>
  <si>
    <t xml:space="preserve">Dallas </t>
  </si>
  <si>
    <t>Tarrant County / City of Grapevine</t>
  </si>
  <si>
    <t>Meade / Butte / Lawrence</t>
  </si>
  <si>
    <t>Fall River / Custer</t>
  </si>
  <si>
    <t>Charleston / Berkeley / Dorchester</t>
  </si>
  <si>
    <t>Kent / Washington</t>
  </si>
  <si>
    <t>Lehigh / Northampton</t>
  </si>
  <si>
    <t>Mahoning / Trumbull</t>
  </si>
  <si>
    <t>Wayne / Medina</t>
  </si>
  <si>
    <t>Butler / Warren</t>
  </si>
  <si>
    <t>Greene / Darke / Montgomery</t>
  </si>
  <si>
    <t>Onondaga / Oswego</t>
  </si>
  <si>
    <t>Saratoga / Schenectady</t>
  </si>
  <si>
    <t>Bronx / Kings / New York / Queens / Richmond</t>
  </si>
  <si>
    <t>New York City</t>
  </si>
  <si>
    <t>Tompkins / Seneca</t>
  </si>
  <si>
    <t>Broome / Tioga</t>
  </si>
  <si>
    <t>Douglas / Carson City</t>
  </si>
  <si>
    <t>Stateline / Carson City</t>
  </si>
  <si>
    <t>Essex / Bergen / Hudson / Passaic</t>
  </si>
  <si>
    <t>Camden / Burlington</t>
  </si>
  <si>
    <t>Atlantic / Cape May</t>
  </si>
  <si>
    <t>Williams / Mountrail / McKenzie</t>
  </si>
  <si>
    <t xml:space="preserve">Ward </t>
  </si>
  <si>
    <t>Stark / Mercer / Billings</t>
  </si>
  <si>
    <t>Forrest / Lamar</t>
  </si>
  <si>
    <t>St. Louis / St. Louis City / St. Charles / Crawford / Franklin / Jefferson / Lincoln / Warren / Washington</t>
  </si>
  <si>
    <t>Jackson / Clay / Cass / Platte</t>
  </si>
  <si>
    <t>Hennepin / Ramsey</t>
  </si>
  <si>
    <t>Grand Traverse / Leelanau</t>
  </si>
  <si>
    <t>Traverse City / Leland</t>
  </si>
  <si>
    <t>Ingham / Eaton</t>
  </si>
  <si>
    <t>St. Mary's / Calvert</t>
  </si>
  <si>
    <t>Dorchester / Talbot</t>
  </si>
  <si>
    <t>Orleans / St. Bernard / Jefferson / Plaquemine Parishes</t>
  </si>
  <si>
    <t>Marion / Hamilton</t>
  </si>
  <si>
    <t>Bond / Calhoun / Clinton / Jersey / Macoupin / Madison / Monroe / St. Clair</t>
  </si>
  <si>
    <t>Cook / Lake</t>
  </si>
  <si>
    <t>Blaine / Elmore</t>
  </si>
  <si>
    <t>Fulton / Dekalb / Cobb</t>
  </si>
  <si>
    <t>Pinellas / Hillsborough</t>
  </si>
  <si>
    <t>Okaloosa / Walton</t>
  </si>
  <si>
    <t xml:space="preserve">Douglas </t>
  </si>
  <si>
    <t>Denver / Adams / Arapahoe / Jefferson</t>
  </si>
  <si>
    <t>Tulare / Kings</t>
  </si>
  <si>
    <t>Los Angeles / Orange / Ventura / Edwards AFB less the city of Santa Monica</t>
  </si>
  <si>
    <t>Kern</t>
  </si>
  <si>
    <t>Navajo</t>
  </si>
  <si>
    <t>Kayenta</t>
  </si>
  <si>
    <t>Madison / Limestone</t>
  </si>
  <si>
    <t>Jefferson / Shelby</t>
  </si>
  <si>
    <t>Avg M&amp;I</t>
  </si>
  <si>
    <t>Avg Lodging Rate</t>
  </si>
  <si>
    <t>FY2015 M&amp;IE</t>
  </si>
  <si>
    <t>FY2015 Lodging Rate</t>
  </si>
  <si>
    <t>COUNTY / LOCATION DEFINED</t>
  </si>
  <si>
    <t>FY 2015 Per Diem Rates - Effective October 1, 2014</t>
  </si>
  <si>
    <t xml:space="preserve">Source: Office of Personnel Management (OPM), 2015 General Schedule. </t>
  </si>
  <si>
    <t>http://www.opm.gov/policy-data-oversight/pay-leave/salaries-wages/salary-tables/pdf/2015/GS_h.pdf</t>
  </si>
  <si>
    <t>(GS-13, Step 5, $39.70+ 60%)</t>
  </si>
  <si>
    <t>(GS-6, Step 3, $15.94 + 60%)</t>
  </si>
  <si>
    <t>(GS-12, Step 1, $28.46+ 60%)</t>
  </si>
  <si>
    <t>Annualized cost @ 7%</t>
  </si>
  <si>
    <t>105 L of CH4-500ppm/Air 105 L; Zero Air &lt;1 ppm THC 105 L;</t>
  </si>
  <si>
    <t>quote from Pine Environmental + 20% shipping/handling</t>
  </si>
  <si>
    <t>Hydrogen fuel for TVA (estimate quantity good for one year of monitoring)</t>
  </si>
  <si>
    <t>620 L</t>
  </si>
  <si>
    <t>@3 DAYS</t>
  </si>
  <si>
    <t>@3 Weeks</t>
  </si>
  <si>
    <t xml:space="preserve">Total Non-labor costs for Surface methane monitoring quarterly </t>
  </si>
  <si>
    <t>Public</t>
  </si>
  <si>
    <t>Private</t>
  </si>
  <si>
    <t>25-foot traverse</t>
  </si>
  <si>
    <t>30 meter traverse</t>
  </si>
  <si>
    <t>Daily Acreage</t>
  </si>
  <si>
    <t>Acreage / 8 hours = 3</t>
  </si>
  <si>
    <t>Acreage * 0.254 / 8 hours = 3</t>
  </si>
  <si>
    <t>24 acres = 3 days</t>
  </si>
  <si>
    <t>24 acres/0.254 = 3 days, or 95 acres</t>
  </si>
  <si>
    <t>Weekly Acreage</t>
  </si>
  <si>
    <t>Acreage/40 hours = 3</t>
  </si>
  <si>
    <t>Acreage*0.254/40 hours = 3</t>
  </si>
  <si>
    <t>120 acres = 3 weeks</t>
  </si>
  <si>
    <t>120 acres/0.254 = 3 weeks</t>
  </si>
  <si>
    <t>472 acres = 3 weeks</t>
  </si>
  <si>
    <t>3 days ($125/day)</t>
  </si>
  <si>
    <t>From Testing and Monitoring Cost Summary-NSPS 040915.xlsx (Figure breakpoint worksheet):</t>
  </si>
  <si>
    <t>NSPS</t>
  </si>
  <si>
    <t>CountOfLandfill_ID</t>
  </si>
  <si>
    <t>SumOfAnnual_NMOC_Mg</t>
  </si>
  <si>
    <t>SumOfAnnual_LFG_Mg_CO2e</t>
  </si>
  <si>
    <t>From NSPS Landfill Impacts with mods 040915.xlsx</t>
  </si>
  <si>
    <t>2014</t>
  </si>
  <si>
    <t>2015</t>
  </si>
  <si>
    <t>2016</t>
  </si>
  <si>
    <t>2017</t>
  </si>
  <si>
    <t>2018</t>
  </si>
  <si>
    <t>From Controllers and Reporters NSPS 042715.xlsx</t>
  </si>
  <si>
    <t>Ownership</t>
  </si>
  <si>
    <t>Controllers</t>
  </si>
  <si>
    <t>Reporters not Controlling:</t>
  </si>
  <si>
    <t>%</t>
  </si>
  <si>
    <t>Amended design capacity</t>
  </si>
  <si>
    <t>Mods</t>
  </si>
  <si>
    <t>Mod&amp;green</t>
  </si>
  <si>
    <t>All greenfields that are open by the ICR year are reporters not controllers in the ICR years (all controllers are mods in these years)</t>
  </si>
  <si>
    <t># of landfills reporting/Total # of respondents</t>
  </si>
  <si>
    <t>SUMMARY</t>
  </si>
  <si>
    <t>Total Hours</t>
  </si>
  <si>
    <t>Costs</t>
  </si>
  <si>
    <t>Total Labor Cost</t>
  </si>
  <si>
    <t>Review amended design capacity report</t>
  </si>
  <si>
    <t>Labor and capital/O&amp;M costs</t>
  </si>
  <si>
    <t>Performance Tests</t>
  </si>
  <si>
    <t>Mods only are controlling…</t>
  </si>
  <si>
    <t xml:space="preserve">We have assumed that 10% of controlled landfill will revise their design plan. </t>
  </si>
  <si>
    <t>p</t>
  </si>
  <si>
    <t>o</t>
  </si>
  <si>
    <t>l,m</t>
  </si>
  <si>
    <t>j, k</t>
  </si>
  <si>
    <t>2. Amended design capacity report</t>
  </si>
  <si>
    <t>3. Report of NMOC rate (Tier 1)</t>
  </si>
  <si>
    <t>4. Report of NMOC rate (Tier 2)</t>
  </si>
  <si>
    <t>5. Landfill Closure Report</t>
  </si>
  <si>
    <t>6. Equipment Removal Report</t>
  </si>
  <si>
    <t>7. Collection and Control System Design Plan</t>
  </si>
  <si>
    <t>8. Revised design plan</t>
  </si>
  <si>
    <t>9. Initial Performance Test</t>
  </si>
  <si>
    <t>10. Compliance Report</t>
  </si>
  <si>
    <t>11. Annual Report</t>
  </si>
  <si>
    <t>(G) 
Civil Engineer Technician per Year @ $49.85</t>
  </si>
  <si>
    <t>(H) Technical Hours per Year @ $86.46 
(E X F)</t>
  </si>
  <si>
    <t>(I)         Clerical Hours per Year @ $30.28 
(H X 0.1)</t>
  </si>
  <si>
    <t>(J)       Management Hours per Year @ $109.43 
(H X .05)</t>
  </si>
  <si>
    <t>for Municipal Solid Waste Landfills - Subpart XXX - Year 3</t>
  </si>
  <si>
    <t>for Municipal Solid Waste Landfills - Subpart XXX - Year 2</t>
  </si>
  <si>
    <t>Public Annual Burden Hours</t>
  </si>
  <si>
    <t>Private Annual Burden Hours</t>
  </si>
  <si>
    <t>Total Annual Burden Hours</t>
  </si>
  <si>
    <t>Public Labor Cost</t>
  </si>
  <si>
    <t>Private Labor Cost</t>
  </si>
  <si>
    <t>Breakdown of Pub/Priv for data check</t>
  </si>
  <si>
    <t>for Publically-Owned Municipal Solid Waste Landfills - Subpart XXX - Year 1</t>
  </si>
  <si>
    <t>for Publically-Owned Municipal Solid Waste Landfills - Subpart XXX - Year 2</t>
  </si>
  <si>
    <t>for Publically-Owned Municipal Solid Waste Landfills - Subpart XXX - Year 3</t>
  </si>
  <si>
    <t>for Privately-Owned Municipal Solid Waste Landfills - Subpart XXX - Year 1</t>
  </si>
  <si>
    <t>for Privately-Owned Municipal Solid Waste Landfills - Subpart XXX - Year 2</t>
  </si>
  <si>
    <t>for Privately-Owned Municipal Solid Waste Landfills - Subpart XXX - Year 3</t>
  </si>
  <si>
    <t>We have assumed that 50 percent of uncontrolled landfills with use Tier 1 calculations annually and 50 percent will use Tier 2 calculations once every 5 years for their NMOC reports.  Of the landfills estimated to remain uncontrolled in the regulatory database 40% are public and 60% are private.</t>
  </si>
  <si>
    <t>3 days * ($118 hotel + $58 meals/incidentals) + ($600 round trip) = $1128 per trip</t>
  </si>
  <si>
    <t>c, d</t>
  </si>
  <si>
    <t>f Number of occurrences is based on the assumption that of the landfills that test, 10% of them will have exceedances and need enforcement.</t>
  </si>
  <si>
    <t xml:space="preserve">g Assumes no controlled landfills during this ICR period will have modifications. </t>
  </si>
  <si>
    <t xml:space="preserve">i Number of occurrences is the number of uncontrolled landfills that use Tier 1 or Tier 2 calculations for their NMOC reports. </t>
  </si>
  <si>
    <t>j We have assumed that no controlled landfill will close or remove equipment during this ICR period.</t>
  </si>
  <si>
    <t>k Assumes 10 percent of respondents submitting a design plan will submit a revised design plan to account for changes to the landfill or the GCCS as allowed for in 60.767(h).</t>
  </si>
  <si>
    <t>l Assumes the following labor rates: $63.52  per hour for Management labor; $447.14 per hour for Technical labor, and $25.50 per hour for Clerical labor. These rates are from the Office of Personnel Management (OPM), 2014 General Schedule, which excludes locality rates of pay.  The rates have been increased by 60 percent to account for the benefit packages available to government employees. These rates can be obtained from the OPM web site, https://www.opm.gov/policy-data-oversight/pay-leave/salaries-wages/2014/general-schedule/.</t>
  </si>
  <si>
    <t>We have assumed that 50 percent of uncontrolled landfills with use Tier 1 calculations annually and 50 percent will use Tier 2 calculations once every 5 years for their NMOC reports.  Of the landfills estimated to remain uncontrolled in the regulatory database 36% are public and 64% are private.</t>
  </si>
  <si>
    <t>We have assumed that 50 percent of uncontrolled landfills with use Tier 1 calculations annually and 50 percent will use Tier 2 calculations once every 5 years for their NMOC reports.  Of the landfills estimated to remain uncontrolled in the regulatory database 39% are public and 61% are private.</t>
  </si>
  <si>
    <t>Assumes 101 controlled landfill during the first year of this ICR period. 25% of which are public and 75% of which are private. This is a one-time requirement.</t>
  </si>
  <si>
    <t>m Total cost is based on the number of trips taken by EPA to observe performance tests in year 1 (3.A. &amp; 3.B.) multiplied by $1128 per trip.  The source for hotel and meals/incidental costs is based on FY' 15 per diem rates, averaged across all locations in the United States.  Airfares are estimated based on experience from other rulemakings. See: http://www.gsa.gov/portal/category/100120</t>
  </si>
  <si>
    <t>a Number of occurrences is the number of EPA Regions (10 regions). This is a one-time occurence that is only incurred during the first year of compliance.</t>
  </si>
  <si>
    <t>e Number of occurrences is based on the estimated number of controlled landfills expected to come online or modify by 2017.</t>
  </si>
  <si>
    <t>d Number of occurrences is based on the estimated number of controlled landfills expected to come online or modify by 2018.  This is a one-time occurence that is only incurred during the first year of compliance.</t>
  </si>
  <si>
    <t>e Number of occurrences is based on the estimated number of controlled landfills expected to come online or modify by 2018.</t>
  </si>
  <si>
    <t>d Number of occurrences is based on the estimated number of controlled landfills expected to come online or modify by 2019.  This is a one-time occurence that is only incurred during the first year of compliance.</t>
  </si>
  <si>
    <t>e Number of occurrences is based on the estimated number of controlled landfills expected to come online or modify by 2019.</t>
  </si>
  <si>
    <t>a, g</t>
  </si>
  <si>
    <t>Assumes 3 additional controlled landfills during the second year of this ICR period. 25% of which are public and 75% of which are private. This is a one-time requirement.</t>
  </si>
  <si>
    <t>Assumes 13 additional controlled landfill during the third year of this ICR period. 26% of which are public and 74% of which are private. This is a one-time requirement.</t>
  </si>
  <si>
    <t xml:space="preserve">c Number of occurrences is based on the assumption that EPA personnel will observe 20% of the landfills where initial performance tests and surface methane monitoring that occur. Cost to conduct surface methane monitoring includes time for monitor rental for agency as well as agency labor, which is $764 per occurrence based on the size of the landfills expected to install controls beginning in year 2020. </t>
  </si>
  <si>
    <t>d Number of occurrences is based on the estimated number of controlled landfills expected to come online or modify by 2017.  This is a one-time occurence that is only incurred during the first year of compliance.</t>
  </si>
  <si>
    <t>Design capacity reporters (&lt;2.5 million Mg)</t>
  </si>
  <si>
    <t>All landfills with capacity &gt;=2.5 million-Mod:</t>
  </si>
  <si>
    <t>All landfill with capacity &gt;2.5 million-Green</t>
  </si>
  <si>
    <t># reporting NMOC but not controlling</t>
  </si>
  <si>
    <t>Initial Design Capacity Reporters (these are &lt;2.5 million Mg)</t>
  </si>
  <si>
    <r>
      <rPr>
        <sz val="11"/>
        <color rgb="FFFF0000"/>
        <rFont val="Calibri"/>
        <family val="2"/>
        <scheme val="minor"/>
      </rPr>
      <t>NMOC Reporters</t>
    </r>
    <r>
      <rPr>
        <sz val="11"/>
        <color theme="1"/>
        <rFont val="Calibri"/>
        <family val="2"/>
        <scheme val="minor"/>
      </rPr>
      <t xml:space="preserve"> not Controlling:</t>
    </r>
  </si>
  <si>
    <t>Based on the regulatory database, there are 7 greenfields and modified landfills with design capacity less than 2.5 million megagrams by mass or 2.5 million cubic meters by volume and thus will complete the initial design capacity report in the first year of this ICR. This is a one-time requirement.  Based on the regulatory database, 14% of these respondents are private and 86% are public.</t>
  </si>
  <si>
    <t>No additional landfills subject to this subpart are estimated to have a design capacity of less than 2.5 million megagrams by mass or 2.5 million cubic meters by volume.</t>
  </si>
  <si>
    <t>h No additional landfills subject to this subpart are estimated to have a design capacity of less than 2.5 million megagrams by mass or 2.5 million cubic meters by volume.</t>
  </si>
  <si>
    <t>Assumes no landfills will submit an amended design capacity report.</t>
  </si>
  <si>
    <t>Records percentage</t>
  </si>
  <si>
    <t>Reading percentage</t>
  </si>
  <si>
    <t>This is a one time requirement for new respondents. We have assumed that each new respondent will take 40 hours to read instructions as part of their reporting requirements. Based on the regulatory database, 69% of these respondents are private and 31% are public.</t>
  </si>
  <si>
    <t xml:space="preserve">This is a one time requirement for new respondents. We have assumed that each new respondent will take 40 hours to read instructions as part of their reporting requirements. </t>
  </si>
  <si>
    <t>This is a one time requirement for new respondents. We have assumed that each new respondent will take 40 hours to read instructions as part of their reporting requirements. Based on the regulatory database, 78% of these respondents are private and 22% are public.</t>
  </si>
  <si>
    <t>h Based on the regulatory database, there are 7 greenfields and modified landfills with design capacity less than 2.5 million megagrams by mass or 2.5 million cubic meters by volume and thus will complete the initial design capacity report in the first year of this ICR. This is a one-time requirement. Assumes no landfills will submit an amended design capacity report.</t>
  </si>
  <si>
    <t>h No additional landfills subject to this subpart are estimated to have a design capacity of less than 2.5 million megagrams by mass or 2.5 million cubic meters by volume. Assumes no landfills will submit an amended design capacity report.</t>
  </si>
  <si>
    <t>This ICR uses mean hourly wage for the following labor categories from the United States Department of Labor, Bureau of Labor Statistics, May 2013, “National Occupational Employment and Wage Estimates United States”:  Managers, All Other for Managerial labor, Civil Engineer for Technical labor, and Office Clerks, General for Clerical labor.  The rates have been increased by 110 percent to account for the benefit packages available to those employed by private industry.</t>
  </si>
  <si>
    <t>Total # of respondents</t>
  </si>
  <si>
    <t>Number of Public Respondents (Facilities)</t>
  </si>
  <si>
    <t>Number of Private Respondents (Facilities)</t>
  </si>
  <si>
    <t>Public responses</t>
  </si>
  <si>
    <t>Private responses</t>
  </si>
  <si>
    <t>Table 1.B.  Annual Respondent Burden and Cost of Recordkeeping and Reporting Requirements for the Standards of Performance</t>
  </si>
  <si>
    <t>Table 2.A.  Annual Respondent Burden and Cost of Recordkeeping and Reporting Requirements for the Standards of Performance</t>
  </si>
  <si>
    <t>Table 2.B.  Annual Respondent Burden and Cost of Recordkeeping and Reporting Requirements for the Standards of Performance</t>
  </si>
  <si>
    <t>Table 3.A.  Annual Respondent Burden and Cost of Recordkeeping and Reporting Requirements for the Standards of Performance</t>
  </si>
  <si>
    <t>Table 3.B.  Annual Respondent Burden and Cost of Recordkeeping and Reporting Requirements for the Standards of Performance</t>
  </si>
  <si>
    <t>Table 1.C.  Annual Federal Government Burden and Cost of Recordkeeping and Reporting</t>
  </si>
  <si>
    <t>Table 2.C.  Annual Federal Government Burden and Cost of Recordkeeping and Reporting</t>
  </si>
  <si>
    <t>Table 3.C.  Annual Federal Government Burden and Cost of Recordkeeping and Reporting</t>
  </si>
  <si>
    <t>Flowmeter</t>
  </si>
  <si>
    <t>Thermocouple</t>
  </si>
  <si>
    <t>Data Recorder</t>
  </si>
  <si>
    <t>Annual O&amp;M</t>
  </si>
  <si>
    <t>(B1)
Annualized Non-Labor Capital Costs Per Occurrence</t>
  </si>
  <si>
    <t>(B2)
Annual Non-Labor O&amp;M Costs Per Occurrence</t>
  </si>
  <si>
    <t>(L) Total Annualized Non-Labor Capital and O&amp;M Costs Per Year ((B1+B2) x Cx F)</t>
  </si>
  <si>
    <t xml:space="preserve">           3.   Wellhead monitoring monthly</t>
  </si>
  <si>
    <t>Surface Monitoring - Calibration Gases (estimate quantity good for one year)</t>
  </si>
  <si>
    <t>Wellhead Monitoring - Calibration Gases (estimate quantity good for one year)</t>
  </si>
  <si>
    <t>105 L of oxygen - 4%/N2 and CH4-50%/35%CO2/N2</t>
  </si>
  <si>
    <t>We have assumed all respondent hours equals the number of Technical Hours except for surface methane monitoring and wellhead monitoring which fall under Civil Engineer Technician Hours.</t>
  </si>
  <si>
    <t>per quarter</t>
  </si>
  <si>
    <t>per month</t>
  </si>
  <si>
    <t>3. Recordkeeping and Data Storage (others)</t>
  </si>
  <si>
    <t>2. Recordkeeping and Data Storage (controllers)</t>
  </si>
  <si>
    <t>q</t>
  </si>
  <si>
    <t>Footnote q percentage for records</t>
  </si>
  <si>
    <r>
      <t>Number of occurrences is based on the total number of landfills that are subject to the standard but not controlling. Based on the regulatory database</t>
    </r>
    <r>
      <rPr>
        <b/>
        <sz val="6.5"/>
        <color rgb="FFFF0000"/>
        <rFont val="Arial"/>
        <family val="2"/>
      </rPr>
      <t>, 51% of these respondents are private and 49% are public. These records are much more simplistic for these sources than landfills controlling emissions.</t>
    </r>
  </si>
  <si>
    <t>Based on the annualized capital costs for method 25 or 25C over 15 years, which is the expected lifetime of the flare or other destruction device. Other capital costs related to flare station monitoring include a thermocouple, flowmeter and data recorder. The costs for these equipment purchases were provided based on industry comment on the ICR renewal 1557.09 burden. These capital/start-up costs were also annualized over 15 years, since this is a one-time requirement. In addition, the industry comments also reported an annual O&amp;M cost for these equipment in the most recent ICR renewal, and these costs were incorporated here.</t>
  </si>
  <si>
    <t>Based on the annualized capital costs for conducting a method 25 or 25C over 5 years, since a Tier 2 test must be repeated every 5 years. Labor burden is assigned once every 5 years.</t>
  </si>
  <si>
    <t>1. Data Compilation and Review (controllers)</t>
  </si>
  <si>
    <t>Assumes 101 controlled landfill during the first year of this ICR period. 25% of which are public and 75% of which are private. The estimated burden was based on industry consultation of $5000 per year for compliance reporting (see comment on recent ICR renewal for subpart WWW, ICR# 1557.09). Since this estimate included an assumption of a semi-annual report to satisfy the requirements of the landfills NESHAP, we adjusted this estimate by half to account for the single report required by this NSPS, or $2500, which is approximately 27 technical hours per occurance.</t>
  </si>
  <si>
    <t>Assumes 101 controlled landfill during the first year of this ICR period. 25% of which are public and 75% of which are private. The estimated burden was based on industry consultation of $1000 per month for recordkeeping and data storage per month and $500 for data compilation and review per month (see comment on recent ICR renewal for subpart WWW, ICR# 1557.09). This is approximately 5 technical hours per occurance for data compilation and review and 11 hours for recordkeeping and data storage.</t>
  </si>
  <si>
    <t>Assumes 104 controlled landfill during the second year of this ICR period. 25% of which are public and 75% of which are private. The estimated burden was based on industry consultation of $5000 per year for compliance reporting (see comment on recent ICR renewal for subpart WWW, ICR# 1557.09). Since this estimate included an assumption of a semi-annual report to satisfy the requirements of the landfills NESHAP, we adjusted this estimate by half to account for the single report required by this NSPS, or $2500, which is approximately 27 technical hours per occurance.</t>
  </si>
  <si>
    <t>Assumes 104 controlled landfill during the second year of this ICR period. 25% of which are public and 75% of which are private. The estimated burden was based on industry consultation of $1000 per month for recordkeeping and data storage per month and $500 for data compilation and review per month (see comment on recent ICR renewal for subpart WWW, ICR# 1557.09). This is approximately 5 technical hours per occurance for data compilation and review and 11 hours for recordkeeping and data storage.</t>
  </si>
  <si>
    <t>Assumes 117 controlled landfill during the third year of this ICR period. 25% of which are public and 75% of which are private. The estimated burden was based on industry consultation of $5000 per year for compliance reporting (see comment on recent ICR renewal for subpart WWW, ICR# 1557.09). Since this estimate included an assumption of a semi-annual report to satisfy the requirements of the landfills NESHAP, we adjusted this estimate by half to account for the single report required by this NSPS, or $2500, which is approximately 27 technical hours per occurance.</t>
  </si>
  <si>
    <t>Assumes 117 controlled landfill during the third year of this ICR period. 25% of which are public and 75% of which are private. The estimated burden was based on industry consultation of $1000 per month for recordkeeping and data storage per month and $500 for data compilation and review per month (see comment on recent ICR renewal for subpart WWW, ICR# 1557.09). This is approximately 5 technical hours per occurance for data compilation and review and 11 hours for recordkeeping and data storage.</t>
  </si>
  <si>
    <t>A total of 117 controlled sites in year 3. For surface monitoring: The average acreage of controlled sites is estimated to be 145 acres under the proposed 2.5/34 option. We assumed weekly equipment rental costs at $350/week, and one week per occurrence. In addition, the landfill will need to purchase calibration gases and hydrogen fuel to operate the surface monitoring equipment. 25% of which are public and 75% of which are private.  For wellhead monitoring: The estimated burden was based on industry consultation of $2000 per month during the most recent ICR renewal for subpart WWW (ICR# 1557.09), or approximately 40 hours of technician labor time. The burden provided did not breakdown labor vs. non-labor costs, therefore we have not incorporated equipment rental costs in this estimate. We did however include costs for calibration gases for the wellhead equipment. Cost of re-monitoring for exceedances of surface monitoring or wellhead monitoring are not included because the rule does not require remonitoring unless an exceedance is found. Landfills can minimize the number of exceedances found by ensuring the GCCS is well-operated and the surface is well sealed.</t>
  </si>
  <si>
    <t>A total of 104 controlled sites in year 2. For surface monitoring: The average acreage of controlled sites is estimated to be 145 acres under the proposed 2.5/34 option. We assumed weekly equipment rental costs at $350/week, and one week per occurrence. In addition, the landfill will need to purchase calibration gases and hydrogen fuel to operate the surface monitoring equipment. 25% of which are public and 75% of which are private.  For wellhead monitoring: The estimated burden was based on industry consultation of $2000 per month during the most recent ICR renewal for subpart WWW (ICR# 1557.09), or approximately 40 hours of technician labor time. The burden provided did not breakdown labor vs. non-labor costs, therefore we have not incorporated equipment rental costs in this estimate. We did however include costs for calibration gases for the wellhead equipment. Cost of re-monitoring for exceedances of surface monitoring or wellhead monitoring are not included because the rule does not require remonitoring unless an exceedance is found. Landfills can minimize the number of exceedances found by ensuring the GCCS is well-operated and the surface is well sealed.</t>
  </si>
  <si>
    <t>Assumes 101 controlled landfill during the first year of this ICR period. For surface monitoring: The average acreage of controlled sites is estimated to be 145 acres under the proposed 2.5/34 option. We assumed weekly equipment rental costs at $350/week, and one week per occurrence. In addition, the landfill will need to purchase calibration gases and hydrogen fuel to operate the surface monitoring equipment. 25% of which are public and 75% of which are private.  For wellhead monitoring: The estimated burden was based on industry consultation of $2000 per month during the most recent ICR renewal for subpart WWW (ICR# 1557.09), or approximately 40 hours of technician labor time. The burden provided did not breakdown labor vs. non-labor costs, therefore we have not incorporated equipment rental costs in this estimate. We did however include costs for calibration gases for the wellhead equipment. Cost of re-monitoring for exceedances of surface monitoring or wellhead monitoring are not included because the rule does not require remonitoring unless an exceedance is found. Landfills can minimize the number of exceedances found by ensuring the GCCS is well-operated and the surface is well sealed.</t>
  </si>
  <si>
    <t>(A)</t>
  </si>
  <si>
    <t>Monitoring Device</t>
  </si>
  <si>
    <t>(B)</t>
  </si>
  <si>
    <t>Capital/Startup Cost for One Respondent</t>
  </si>
  <si>
    <t>(C)</t>
  </si>
  <si>
    <t>Annualized Capital/Startup Cost for One Respondent</t>
  </si>
  <si>
    <t>(D)</t>
  </si>
  <si>
    <t>Average Number of Respondents per Year</t>
  </si>
  <si>
    <t>(E)</t>
  </si>
  <si>
    <t>Total Annualized Capital / Startup Cost, (C X D) per Year</t>
  </si>
  <si>
    <t>(F)</t>
  </si>
  <si>
    <t>Annual O&amp;M Costs for One Respondent</t>
  </si>
  <si>
    <t>(G)</t>
  </si>
  <si>
    <t>Number of Respondents with O&amp;M</t>
  </si>
  <si>
    <t>(H)</t>
  </si>
  <si>
    <t>Total O&amp;M,</t>
  </si>
  <si>
    <t>(F X G)</t>
  </si>
  <si>
    <t>Method 25 or 25C testing costs for initial performance test</t>
  </si>
  <si>
    <t>Sampling probe and Method 25 or 25C testing costs for Tier 2 test</t>
  </si>
  <si>
    <t>Method 21 Surface Emission Monitor</t>
  </si>
  <si>
    <t>Portable Wellhead Monitor</t>
  </si>
  <si>
    <t>Flow Meter</t>
  </si>
  <si>
    <t>Total Burden hours per response</t>
  </si>
  <si>
    <t>Number of occurrences is based on the total number of landfills that are subject to the standard but not controlling. Based on the regulatory database, 51% of these respondents are private and 49% are public. These records are much more simplistic for these sources than landfills controlling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</si>
</sst>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quot;$&quot;#,##0"/>
    <numFmt numFmtId="167" formatCode="&quot;$&quot;#,##0.00"/>
    <numFmt numFmtId="168" formatCode="General_)"/>
    <numFmt numFmtId="169" formatCode="_(* #,##0_);_(* \(#,##0\);_(* &quot;-&quot;??_);_(@_)"/>
    <numFmt numFmtId="170" formatCode="_(&quot;$&quot;* #,##0_);_(&quot;$&quot;* \(#,##0\);_(&quot;$&quot;* &quot;-&quot;??_);_(@_)"/>
    <numFmt numFmtId="171" formatCode="mmmm\ d"/>
    <numFmt numFmtId="172" formatCode="&quot;$&quot;\ #,##0"/>
    <numFmt numFmtId="173" formatCode="0.0000"/>
    <numFmt numFmtId="174" formatCode="_(* #,##0.0_);_(* \(#,##0.0\);_(* &quot;-&quot;??_);_(@_)"/>
    <numFmt numFmtId="175" formatCode="0.00000000"/>
  </numFmts>
  <fonts count="64" x14ac:knownFonts="1">
    <font>
      <sz val="11"/>
      <color theme="1"/>
      <name val="Calibri"/>
      <family val="2"/>
      <scheme val="minor"/>
    </font>
    <font>
      <sz val="11"/>
      <color rgb="FF006100"/>
      <name val="Calibri"/>
      <family val="2"/>
      <scheme val="minor"/>
    </font>
    <font>
      <sz val="11"/>
      <color rgb="FF9C6500"/>
      <name val="Calibri"/>
      <family val="2"/>
      <scheme val="minor"/>
    </font>
    <font>
      <sz val="9"/>
      <color theme="1"/>
      <name val="Courier New"/>
      <family val="3"/>
    </font>
    <font>
      <b/>
      <sz val="9"/>
      <color theme="1"/>
      <name val="Courier New"/>
      <family val="3"/>
    </font>
    <font>
      <sz val="8"/>
      <name val="Arial"/>
      <family val="2"/>
    </font>
    <font>
      <sz val="10"/>
      <name val="Arial"/>
      <family val="2"/>
    </font>
    <font>
      <sz val="10"/>
      <name val="MS Sans Serif"/>
      <family val="2"/>
    </font>
    <font>
      <sz val="11"/>
      <color theme="1"/>
      <name val="Arial"/>
      <family val="2"/>
    </font>
    <font>
      <sz val="10"/>
      <color indexed="8"/>
      <name val="Arial"/>
      <family val="2"/>
    </font>
    <font>
      <sz val="11"/>
      <color indexed="8"/>
      <name val="Calibri"/>
      <family val="2"/>
    </font>
    <font>
      <b/>
      <i/>
      <sz val="11"/>
      <color theme="1"/>
      <name val="Calibri"/>
      <family val="2"/>
      <scheme val="minor"/>
    </font>
    <font>
      <b/>
      <i/>
      <sz val="11"/>
      <color theme="1"/>
      <name val="Times New Roman"/>
      <family val="1"/>
    </font>
    <font>
      <sz val="11"/>
      <color theme="1"/>
      <name val="Times New Roman"/>
      <family val="1"/>
    </font>
    <font>
      <b/>
      <sz val="11"/>
      <color rgb="FF4F81BD"/>
      <name val="Times New Roman"/>
      <family val="1"/>
    </font>
    <font>
      <b/>
      <sz val="11"/>
      <color theme="1"/>
      <name val="Times New Roman"/>
      <family val="1"/>
    </font>
    <font>
      <u/>
      <sz val="11"/>
      <color theme="10"/>
      <name val="Calibri"/>
      <family val="2"/>
    </font>
    <font>
      <b/>
      <sz val="9"/>
      <color indexed="81"/>
      <name val="Tahoma"/>
      <family val="2"/>
    </font>
    <font>
      <sz val="9"/>
      <color indexed="81"/>
      <name val="Tahoma"/>
      <family val="2"/>
    </font>
    <font>
      <b/>
      <sz val="10"/>
      <name val="Arial"/>
      <family val="2"/>
    </font>
    <font>
      <b/>
      <sz val="10"/>
      <color indexed="8"/>
      <name val="Arial"/>
      <family val="2"/>
    </font>
    <font>
      <sz val="11"/>
      <color theme="1"/>
      <name val="Tahoma"/>
      <family val="2"/>
    </font>
    <font>
      <sz val="11"/>
      <color theme="1"/>
      <name val="Calibri"/>
      <family val="2"/>
      <scheme val="minor"/>
    </font>
    <font>
      <sz val="6.5"/>
      <name val="Arial"/>
      <family val="2"/>
    </font>
    <font>
      <b/>
      <sz val="8"/>
      <name val="Arial"/>
      <family val="2"/>
    </font>
    <font>
      <b/>
      <sz val="7"/>
      <name val="Arial"/>
      <family val="2"/>
    </font>
    <font>
      <sz val="7"/>
      <name val="Arial"/>
      <family val="2"/>
    </font>
    <font>
      <i/>
      <sz val="7"/>
      <name val="Arial"/>
      <family val="2"/>
    </font>
    <font>
      <sz val="8"/>
      <name val="Helv"/>
    </font>
    <font>
      <b/>
      <sz val="9"/>
      <color rgb="FF000000"/>
      <name val="Courier New"/>
      <family val="3"/>
    </font>
    <font>
      <sz val="9"/>
      <color rgb="FF000000"/>
      <name val="Courier New"/>
      <family val="3"/>
    </font>
    <font>
      <sz val="11"/>
      <color rgb="FF000000"/>
      <name val="Calibri"/>
      <family val="2"/>
      <scheme val="minor"/>
    </font>
    <font>
      <b/>
      <sz val="6.5"/>
      <name val="Arial"/>
      <family val="2"/>
    </font>
    <font>
      <vertAlign val="superscript"/>
      <sz val="7"/>
      <name val="Arial"/>
      <family val="2"/>
    </font>
    <font>
      <i/>
      <sz val="8"/>
      <name val="Arial"/>
      <family val="2"/>
    </font>
    <font>
      <sz val="10"/>
      <name val="Arial"/>
      <family val="2"/>
    </font>
    <font>
      <vertAlign val="superscript"/>
      <sz val="10"/>
      <name val="Arial"/>
      <family val="2"/>
    </font>
    <font>
      <sz val="12"/>
      <color theme="1"/>
      <name val="Times New Roman"/>
      <family val="1"/>
    </font>
    <font>
      <sz val="12"/>
      <color rgb="FF000000"/>
      <name val="Times New Roman"/>
      <family val="1"/>
    </font>
    <font>
      <b/>
      <sz val="12"/>
      <name val="Arial"/>
      <family val="2"/>
    </font>
    <font>
      <sz val="11"/>
      <color rgb="FF9C0006"/>
      <name val="Calibri"/>
      <family val="2"/>
      <scheme val="minor"/>
    </font>
    <font>
      <b/>
      <sz val="11"/>
      <color rgb="FFFA7D00"/>
      <name val="Calibri"/>
      <family val="2"/>
      <scheme val="minor"/>
    </font>
    <font>
      <sz val="10"/>
      <color indexed="8"/>
      <name val="Arial"/>
      <family val="2"/>
    </font>
    <font>
      <sz val="11"/>
      <color indexed="8"/>
      <name val="Calibri"/>
      <family val="2"/>
    </font>
    <font>
      <b/>
      <sz val="11"/>
      <color theme="1"/>
      <name val="Calibri"/>
      <family val="2"/>
      <scheme val="minor"/>
    </font>
    <font>
      <u/>
      <sz val="11"/>
      <color theme="1"/>
      <name val="Calibri"/>
      <family val="2"/>
      <scheme val="minor"/>
    </font>
    <font>
      <b/>
      <sz val="11"/>
      <color rgb="FF000000"/>
      <name val="Times New Roman"/>
      <family val="1"/>
    </font>
    <font>
      <sz val="11"/>
      <color rgb="FF000000"/>
      <name val="Times New Roman"/>
      <family val="1"/>
    </font>
    <font>
      <sz val="10"/>
      <name val="Microsoft Sans Serif"/>
      <family val="2"/>
    </font>
    <font>
      <sz val="8"/>
      <name val="Microsoft Sans Serif"/>
      <family val="2"/>
    </font>
    <font>
      <sz val="11"/>
      <color rgb="FF00B050"/>
      <name val="Calibri"/>
      <family val="2"/>
      <scheme val="minor"/>
    </font>
    <font>
      <b/>
      <u/>
      <sz val="11"/>
      <color theme="1"/>
      <name val="Calibri"/>
      <family val="2"/>
      <scheme val="minor"/>
    </font>
    <font>
      <b/>
      <sz val="8"/>
      <color rgb="FFFF0000"/>
      <name val="Arial"/>
      <family val="2"/>
    </font>
    <font>
      <b/>
      <sz val="10"/>
      <color rgb="FFFF0000"/>
      <name val="Arial"/>
      <family val="2"/>
    </font>
    <font>
      <sz val="10"/>
      <color rgb="FFFF0000"/>
      <name val="Arial"/>
      <family val="2"/>
    </font>
    <font>
      <vertAlign val="superscript"/>
      <sz val="10"/>
      <color theme="1"/>
      <name val="Times New Roman"/>
      <family val="1"/>
    </font>
    <font>
      <sz val="6.5"/>
      <color theme="1"/>
      <name val="Arial"/>
      <family val="2"/>
    </font>
    <font>
      <sz val="11"/>
      <color rgb="FFFF0000"/>
      <name val="Calibri"/>
      <family val="2"/>
      <scheme val="minor"/>
    </font>
    <font>
      <sz val="9"/>
      <color rgb="FFFF0000"/>
      <name val="Courier New"/>
      <family val="3"/>
    </font>
    <font>
      <sz val="9"/>
      <color rgb="FF00B050"/>
      <name val="Courier New"/>
      <family val="3"/>
    </font>
    <font>
      <sz val="10"/>
      <color theme="1"/>
      <name val="Times New Roman"/>
      <family val="1"/>
    </font>
    <font>
      <strike/>
      <sz val="7"/>
      <color rgb="FFFF0000"/>
      <name val="Arial"/>
      <family val="2"/>
    </font>
    <font>
      <b/>
      <sz val="6.5"/>
      <color rgb="FFFF0000"/>
      <name val="Arial"/>
      <family val="2"/>
    </font>
    <font>
      <b/>
      <sz val="10"/>
      <color theme="1"/>
      <name val="Times New Roman"/>
      <family val="1"/>
    </font>
  </fonts>
  <fills count="23">
    <fill>
      <patternFill patternType="none"/>
    </fill>
    <fill>
      <patternFill patternType="gray125"/>
    </fill>
    <fill>
      <patternFill patternType="solid">
        <fgColor rgb="FFC6EFCE"/>
      </patternFill>
    </fill>
    <fill>
      <patternFill patternType="solid">
        <fgColor rgb="FFFFEB9C"/>
      </patternFill>
    </fill>
    <fill>
      <patternFill patternType="solid">
        <fgColor rgb="FFFFFF00"/>
        <bgColor indexed="64"/>
      </patternFill>
    </fill>
    <fill>
      <patternFill patternType="solid">
        <fgColor indexed="22"/>
        <bgColor indexed="0"/>
      </patternFill>
    </fill>
    <fill>
      <patternFill patternType="solid">
        <fgColor theme="5" tint="0.59999389629810485"/>
        <bgColor indexed="0"/>
      </patternFill>
    </fill>
    <fill>
      <patternFill patternType="solid">
        <fgColor rgb="FFB8CCE4"/>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FFC000"/>
        <bgColor indexed="64"/>
      </patternFill>
    </fill>
    <fill>
      <patternFill patternType="solid">
        <fgColor rgb="FFFFC7CE"/>
      </patternFill>
    </fill>
    <fill>
      <patternFill patternType="solid">
        <fgColor rgb="FFF2F2F2"/>
      </patternFill>
    </fill>
    <fill>
      <patternFill patternType="solid">
        <fgColor theme="7" tint="0.59999389629810485"/>
        <bgColor indexed="65"/>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22"/>
      </left>
      <right/>
      <top style="thin">
        <color indexed="22"/>
      </top>
      <bottom style="thin">
        <color indexed="22"/>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10"/>
      </left>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indexed="8"/>
      </bottom>
      <diagonal/>
    </border>
    <border>
      <left/>
      <right/>
      <top style="thin">
        <color rgb="FF7F7F7F"/>
      </top>
      <bottom style="thin">
        <color indexed="8"/>
      </bottom>
      <diagonal/>
    </border>
    <border>
      <left/>
      <right style="thin">
        <color indexed="64"/>
      </right>
      <top style="thin">
        <color rgb="FF7F7F7F"/>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style="thin">
        <color indexed="9"/>
      </left>
      <right/>
      <top style="thin">
        <color indexed="9"/>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double">
        <color indexed="64"/>
      </left>
      <right style="medium">
        <color rgb="FF000000"/>
      </right>
      <top style="double">
        <color indexed="64"/>
      </top>
      <bottom style="medium">
        <color rgb="FF000000"/>
      </bottom>
      <diagonal/>
    </border>
    <border>
      <left style="double">
        <color indexed="64"/>
      </left>
      <right style="medium">
        <color rgb="FF000000"/>
      </right>
      <top style="double">
        <color indexed="64"/>
      </top>
      <bottom/>
      <diagonal/>
    </border>
    <border>
      <left style="double">
        <color indexed="64"/>
      </left>
      <right style="medium">
        <color rgb="FF000000"/>
      </right>
      <top/>
      <bottom/>
      <diagonal/>
    </border>
    <border>
      <left style="double">
        <color indexed="64"/>
      </left>
      <right style="medium">
        <color rgb="FF000000"/>
      </right>
      <top/>
      <bottom style="medium">
        <color rgb="FF000000"/>
      </bottom>
      <diagonal/>
    </border>
    <border>
      <left/>
      <right style="medium">
        <color rgb="FF000000"/>
      </right>
      <top style="double">
        <color indexed="64"/>
      </top>
      <bottom style="medium">
        <color rgb="FF000000"/>
      </bottom>
      <diagonal/>
    </border>
    <border>
      <left/>
      <right style="medium">
        <color rgb="FF000000"/>
      </right>
      <top style="double">
        <color indexed="64"/>
      </top>
      <bottom/>
      <diagonal/>
    </border>
    <border>
      <left/>
      <right style="medium">
        <color rgb="FF000000"/>
      </right>
      <top/>
      <bottom/>
      <diagonal/>
    </border>
    <border>
      <left/>
      <right style="medium">
        <color rgb="FF000000"/>
      </right>
      <top/>
      <bottom style="medium">
        <color rgb="FF000000"/>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medium">
        <color rgb="FF000000"/>
      </bottom>
      <diagonal/>
    </border>
    <border>
      <left style="double">
        <color indexed="64"/>
      </left>
      <right style="medium">
        <color rgb="FF000000"/>
      </right>
      <top/>
      <bottom style="double">
        <color indexed="64"/>
      </bottom>
      <diagonal/>
    </border>
    <border>
      <left/>
      <right style="medium">
        <color rgb="FF000000"/>
      </right>
      <top/>
      <bottom style="double">
        <color indexed="64"/>
      </bottom>
      <diagonal/>
    </border>
    <border>
      <left style="double">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double">
        <color indexed="64"/>
      </bottom>
      <diagonal/>
    </border>
    <border>
      <left/>
      <right/>
      <top/>
      <bottom style="medium">
        <color rgb="FF000000"/>
      </bottom>
      <diagonal/>
    </border>
  </borders>
  <cellStyleXfs count="31">
    <xf numFmtId="0" fontId="0" fillId="0" borderId="0"/>
    <xf numFmtId="0" fontId="1" fillId="2" borderId="0" applyNumberFormat="0" applyBorder="0" applyAlignment="0" applyProtection="0"/>
    <xf numFmtId="0" fontId="2" fillId="3" borderId="0" applyNumberFormat="0" applyBorder="0" applyAlignment="0" applyProtection="0"/>
    <xf numFmtId="43" fontId="5" fillId="0" borderId="0" applyFont="0" applyFill="0" applyBorder="0" applyAlignment="0" applyProtection="0"/>
    <xf numFmtId="0" fontId="6" fillId="0" borderId="0" applyNumberFormat="0" applyFont="0" applyFill="0" applyBorder="0" applyAlignment="0" applyProtection="0"/>
    <xf numFmtId="0" fontId="5" fillId="0" borderId="0"/>
    <xf numFmtId="0" fontId="7" fillId="0" borderId="0"/>
    <xf numFmtId="0" fontId="8" fillId="0" borderId="0"/>
    <xf numFmtId="0" fontId="9" fillId="0" borderId="0"/>
    <xf numFmtId="0" fontId="9" fillId="0" borderId="0"/>
    <xf numFmtId="0" fontId="16" fillId="0" borderId="0" applyNumberFormat="0" applyFill="0" applyBorder="0" applyAlignment="0" applyProtection="0">
      <alignment vertical="top"/>
      <protection locked="0"/>
    </xf>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2" fillId="0" borderId="0"/>
    <xf numFmtId="168" fontId="28" fillId="0" borderId="0"/>
    <xf numFmtId="9" fontId="6" fillId="0" borderId="0" applyFont="0" applyFill="0" applyBorder="0" applyAlignment="0" applyProtection="0"/>
    <xf numFmtId="0" fontId="35" fillId="0" borderId="0"/>
    <xf numFmtId="0" fontId="40" fillId="15" borderId="0" applyNumberFormat="0" applyBorder="0" applyAlignment="0" applyProtection="0"/>
    <xf numFmtId="0" fontId="41" fillId="16" borderId="71" applyNumberFormat="0" applyAlignment="0" applyProtection="0"/>
    <xf numFmtId="0" fontId="22" fillId="17" borderId="0" applyNumberFormat="0" applyBorder="0" applyAlignment="0" applyProtection="0"/>
    <xf numFmtId="0" fontId="42" fillId="0" borderId="0"/>
    <xf numFmtId="0" fontId="9" fillId="0" borderId="0"/>
    <xf numFmtId="0" fontId="6" fillId="0" borderId="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505">
    <xf numFmtId="0" fontId="0" fillId="0" borderId="0" xfId="0"/>
    <xf numFmtId="0" fontId="3" fillId="0" borderId="1" xfId="0" applyFont="1" applyBorder="1"/>
    <xf numFmtId="0" fontId="3" fillId="0" borderId="1" xfId="0" applyFont="1" applyBorder="1" applyAlignment="1">
      <alignment vertical="top" wrapText="1"/>
    </xf>
    <xf numFmtId="0" fontId="0" fillId="0" borderId="0" xfId="0" applyAlignment="1">
      <alignment horizontal="left"/>
    </xf>
    <xf numFmtId="0" fontId="0" fillId="0" borderId="0" xfId="0" applyNumberFormat="1"/>
    <xf numFmtId="0" fontId="0" fillId="4" borderId="0" xfId="0" applyFill="1"/>
    <xf numFmtId="0" fontId="0" fillId="0" borderId="0" xfId="0" applyAlignment="1">
      <alignment wrapText="1"/>
    </xf>
    <xf numFmtId="0" fontId="10" fillId="5" borderId="4" xfId="8" applyFont="1" applyFill="1" applyBorder="1" applyAlignment="1">
      <alignment horizontal="center"/>
    </xf>
    <xf numFmtId="0" fontId="10" fillId="6" borderId="4" xfId="8" applyFont="1" applyFill="1" applyBorder="1" applyAlignment="1">
      <alignment horizontal="center"/>
    </xf>
    <xf numFmtId="0" fontId="1" fillId="2" borderId="1" xfId="1" applyBorder="1" applyAlignment="1">
      <alignment horizontal="center" wrapText="1"/>
    </xf>
    <xf numFmtId="0" fontId="10" fillId="0" borderId="5" xfId="9" applyFont="1" applyFill="1" applyBorder="1" applyAlignment="1">
      <alignment wrapText="1"/>
    </xf>
    <xf numFmtId="0" fontId="10" fillId="0" borderId="5" xfId="9" applyFont="1" applyFill="1" applyBorder="1" applyAlignment="1">
      <alignment horizontal="right" wrapText="1"/>
    </xf>
    <xf numFmtId="0" fontId="11" fillId="0" borderId="0" xfId="0" applyFont="1" applyAlignment="1">
      <alignment horizontal="left"/>
    </xf>
    <xf numFmtId="0" fontId="0" fillId="0" borderId="9" xfId="0" applyBorder="1" applyAlignment="1">
      <alignment horizontal="left"/>
    </xf>
    <xf numFmtId="0" fontId="0" fillId="0" borderId="0" xfId="0" applyNumberFormat="1" applyBorder="1"/>
    <xf numFmtId="0" fontId="0" fillId="0" borderId="10" xfId="0" applyNumberFormat="1" applyBorder="1"/>
    <xf numFmtId="0" fontId="0" fillId="0" borderId="11" xfId="0" applyBorder="1" applyAlignment="1">
      <alignment horizontal="left"/>
    </xf>
    <xf numFmtId="0" fontId="0" fillId="0" borderId="12" xfId="0" applyNumberFormat="1" applyBorder="1"/>
    <xf numFmtId="0" fontId="0" fillId="0" borderId="13" xfId="0" applyNumberFormat="1" applyBorder="1"/>
    <xf numFmtId="0" fontId="12" fillId="0" borderId="0" xfId="0" applyFont="1"/>
    <xf numFmtId="0" fontId="13" fillId="0" borderId="0" xfId="0" applyFont="1"/>
    <xf numFmtId="0" fontId="14" fillId="0" borderId="0" xfId="0" applyFont="1"/>
    <xf numFmtId="0" fontId="15" fillId="7" borderId="7" xfId="0" applyFont="1" applyFill="1" applyBorder="1" applyAlignment="1">
      <alignment horizontal="center" wrapText="1"/>
    </xf>
    <xf numFmtId="0" fontId="15" fillId="7" borderId="14" xfId="0" applyFont="1" applyFill="1" applyBorder="1" applyAlignment="1">
      <alignment horizontal="center" wrapText="1"/>
    </xf>
    <xf numFmtId="0" fontId="16" fillId="7" borderId="14" xfId="10" applyFill="1" applyBorder="1" applyAlignment="1" applyProtection="1">
      <alignment horizontal="center" wrapText="1"/>
    </xf>
    <xf numFmtId="0" fontId="13" fillId="0" borderId="15" xfId="0" applyFont="1" applyBorder="1" applyAlignment="1">
      <alignment horizontal="center" vertical="top" wrapText="1"/>
    </xf>
    <xf numFmtId="8" fontId="13" fillId="0" borderId="13" xfId="0" applyNumberFormat="1" applyFont="1" applyBorder="1" applyAlignment="1">
      <alignment horizontal="center" vertical="top" wrapText="1"/>
    </xf>
    <xf numFmtId="0" fontId="16" fillId="0" borderId="0" xfId="10" applyAlignment="1" applyProtection="1"/>
    <xf numFmtId="0" fontId="0" fillId="8" borderId="0" xfId="0" applyFill="1"/>
    <xf numFmtId="0" fontId="0" fillId="8" borderId="0" xfId="0" applyFill="1" applyAlignment="1">
      <alignment wrapText="1"/>
    </xf>
    <xf numFmtId="0" fontId="0" fillId="0" borderId="1" xfId="0" applyBorder="1"/>
    <xf numFmtId="3" fontId="0" fillId="0" borderId="1" xfId="0" applyNumberFormat="1" applyBorder="1"/>
    <xf numFmtId="0" fontId="0" fillId="0" borderId="1" xfId="0" applyBorder="1" applyAlignment="1">
      <alignment wrapText="1"/>
    </xf>
    <xf numFmtId="0" fontId="0" fillId="4" borderId="0" xfId="0" applyFill="1" applyBorder="1"/>
    <xf numFmtId="0" fontId="0" fillId="0" borderId="0" xfId="0" applyBorder="1" applyAlignment="1">
      <alignment wrapText="1"/>
    </xf>
    <xf numFmtId="0" fontId="0" fillId="0" borderId="0" xfId="0" applyBorder="1"/>
    <xf numFmtId="0" fontId="0" fillId="0" borderId="16" xfId="0" applyFill="1" applyBorder="1" applyAlignment="1">
      <alignment wrapText="1"/>
    </xf>
    <xf numFmtId="0" fontId="1" fillId="2" borderId="2" xfId="1" applyBorder="1" applyAlignment="1">
      <alignment horizontal="center" wrapText="1"/>
    </xf>
    <xf numFmtId="0" fontId="10" fillId="0" borderId="19" xfId="8" applyFont="1" applyFill="1" applyBorder="1" applyAlignment="1">
      <alignment wrapText="1"/>
    </xf>
    <xf numFmtId="0" fontId="0" fillId="0" borderId="0" xfId="0" applyNumberFormat="1" applyFill="1" applyBorder="1"/>
    <xf numFmtId="0" fontId="0" fillId="0" borderId="0" xfId="0" applyFill="1" applyBorder="1"/>
    <xf numFmtId="0" fontId="1" fillId="0" borderId="0" xfId="1" applyFill="1" applyBorder="1" applyAlignment="1">
      <alignment wrapText="1"/>
    </xf>
    <xf numFmtId="0" fontId="2" fillId="0" borderId="0" xfId="2" applyFill="1" applyBorder="1" applyAlignment="1">
      <alignment horizontal="center" wrapText="1"/>
    </xf>
    <xf numFmtId="0" fontId="10" fillId="0" borderId="0" xfId="8" applyFont="1" applyFill="1" applyBorder="1" applyAlignment="1">
      <alignment wrapText="1"/>
    </xf>
    <xf numFmtId="164" fontId="10" fillId="0" borderId="6" xfId="8" applyNumberFormat="1" applyFont="1" applyFill="1" applyBorder="1" applyAlignment="1">
      <alignment wrapText="1"/>
    </xf>
    <xf numFmtId="1" fontId="10" fillId="0" borderId="5" xfId="8" applyNumberFormat="1" applyFont="1" applyFill="1" applyBorder="1" applyAlignment="1">
      <alignment wrapText="1"/>
    </xf>
    <xf numFmtId="0" fontId="1" fillId="2" borderId="0" xfId="1" applyAlignment="1">
      <alignment wrapText="1"/>
    </xf>
    <xf numFmtId="0" fontId="0" fillId="9" borderId="1" xfId="0" applyFill="1" applyBorder="1"/>
    <xf numFmtId="0" fontId="0" fillId="9" borderId="0" xfId="0" applyFill="1"/>
    <xf numFmtId="0" fontId="21" fillId="0" borderId="0" xfId="0" applyFont="1"/>
    <xf numFmtId="0" fontId="13" fillId="0" borderId="17" xfId="0" applyFont="1" applyBorder="1" applyAlignment="1">
      <alignment horizontal="center" vertical="top" wrapText="1"/>
    </xf>
    <xf numFmtId="8" fontId="13" fillId="0" borderId="10" xfId="0" applyNumberFormat="1" applyFont="1" applyBorder="1" applyAlignment="1">
      <alignment horizontal="center" vertical="top" wrapText="1"/>
    </xf>
    <xf numFmtId="8" fontId="0" fillId="0" borderId="14" xfId="0" applyNumberFormat="1" applyBorder="1"/>
    <xf numFmtId="0" fontId="15" fillId="7" borderId="8" xfId="0" applyFont="1" applyFill="1" applyBorder="1" applyAlignment="1">
      <alignment horizontal="center" wrapText="1"/>
    </xf>
    <xf numFmtId="0" fontId="0" fillId="0" borderId="11" xfId="0" applyBorder="1"/>
    <xf numFmtId="0" fontId="0" fillId="0" borderId="7" xfId="0" applyBorder="1"/>
    <xf numFmtId="0" fontId="0" fillId="0" borderId="15" xfId="0" applyBorder="1"/>
    <xf numFmtId="0" fontId="5" fillId="0" borderId="0" xfId="12" applyFont="1" applyFill="1"/>
    <xf numFmtId="0" fontId="5" fillId="0" borderId="0" xfId="12" applyFont="1" applyFill="1" applyAlignment="1">
      <alignment horizontal="center"/>
    </xf>
    <xf numFmtId="3" fontId="5" fillId="0" borderId="0" xfId="12" applyNumberFormat="1" applyFont="1" applyFill="1" applyAlignment="1">
      <alignment horizontal="center"/>
    </xf>
    <xf numFmtId="1" fontId="5" fillId="0" borderId="0" xfId="12" applyNumberFormat="1" applyFont="1" applyFill="1" applyAlignment="1">
      <alignment horizontal="center"/>
    </xf>
    <xf numFmtId="3" fontId="23" fillId="0" borderId="0" xfId="12" applyNumberFormat="1" applyFont="1" applyFill="1" applyAlignment="1">
      <alignment horizontal="center"/>
    </xf>
    <xf numFmtId="0" fontId="23" fillId="0" borderId="0" xfId="12" applyFont="1" applyFill="1"/>
    <xf numFmtId="0" fontId="23" fillId="0" borderId="0" xfId="12" applyFont="1" applyFill="1" applyAlignment="1">
      <alignment horizontal="center"/>
    </xf>
    <xf numFmtId="1" fontId="23" fillId="0" borderId="0" xfId="12" applyNumberFormat="1" applyFont="1" applyFill="1" applyAlignment="1">
      <alignment horizontal="center"/>
    </xf>
    <xf numFmtId="0" fontId="24" fillId="0" borderId="0" xfId="12" applyFont="1" applyFill="1"/>
    <xf numFmtId="0" fontId="24" fillId="0" borderId="21" xfId="12" applyFont="1" applyFill="1" applyBorder="1" applyAlignment="1">
      <alignment horizontal="center"/>
    </xf>
    <xf numFmtId="3" fontId="25" fillId="0" borderId="22" xfId="12" applyNumberFormat="1" applyFont="1" applyFill="1" applyBorder="1" applyAlignment="1">
      <alignment horizontal="center"/>
    </xf>
    <xf numFmtId="166" fontId="25" fillId="0" borderId="22" xfId="12" applyNumberFormat="1" applyFont="1" applyFill="1" applyBorder="1" applyAlignment="1">
      <alignment horizontal="center"/>
    </xf>
    <xf numFmtId="1" fontId="24" fillId="0" borderId="22" xfId="12" applyNumberFormat="1" applyFont="1" applyFill="1" applyBorder="1" applyAlignment="1">
      <alignment horizontal="center"/>
    </xf>
    <xf numFmtId="0" fontId="24" fillId="0" borderId="22" xfId="12" applyFont="1" applyFill="1" applyBorder="1" applyAlignment="1">
      <alignment horizontal="center"/>
    </xf>
    <xf numFmtId="166" fontId="24" fillId="0" borderId="22" xfId="12" applyNumberFormat="1" applyFont="1" applyFill="1" applyBorder="1" applyAlignment="1">
      <alignment horizontal="center"/>
    </xf>
    <xf numFmtId="0" fontId="25" fillId="0" borderId="23" xfId="12" applyFont="1" applyFill="1" applyBorder="1" applyAlignment="1">
      <alignment horizontal="center"/>
    </xf>
    <xf numFmtId="0" fontId="26" fillId="0" borderId="0" xfId="12" applyFont="1" applyFill="1"/>
    <xf numFmtId="166" fontId="26" fillId="0" borderId="24" xfId="12" applyNumberFormat="1" applyFont="1" applyFill="1" applyBorder="1" applyAlignment="1">
      <alignment horizontal="center"/>
    </xf>
    <xf numFmtId="0" fontId="26" fillId="0" borderId="25" xfId="12" applyFont="1" applyFill="1" applyBorder="1" applyAlignment="1">
      <alignment horizontal="center"/>
    </xf>
    <xf numFmtId="3" fontId="26" fillId="0" borderId="26" xfId="12" applyNumberFormat="1" applyFont="1" applyFill="1" applyBorder="1" applyAlignment="1">
      <alignment horizontal="center"/>
    </xf>
    <xf numFmtId="166" fontId="26" fillId="0" borderId="26" xfId="12" applyNumberFormat="1" applyFont="1" applyFill="1" applyBorder="1" applyAlignment="1">
      <alignment horizontal="center"/>
    </xf>
    <xf numFmtId="0" fontId="26" fillId="0" borderId="26" xfId="12" applyFont="1" applyFill="1" applyBorder="1" applyAlignment="1">
      <alignment horizontal="center"/>
    </xf>
    <xf numFmtId="0" fontId="27" fillId="0" borderId="27" xfId="12" applyFont="1" applyFill="1" applyBorder="1"/>
    <xf numFmtId="0" fontId="26" fillId="0" borderId="28" xfId="12" applyFont="1" applyFill="1" applyBorder="1" applyAlignment="1">
      <alignment horizontal="center"/>
    </xf>
    <xf numFmtId="0" fontId="26" fillId="0" borderId="24" xfId="12" applyFont="1" applyFill="1" applyBorder="1" applyAlignment="1">
      <alignment horizontal="center"/>
    </xf>
    <xf numFmtId="3" fontId="26" fillId="0" borderId="24" xfId="12" applyNumberFormat="1" applyFont="1" applyFill="1" applyBorder="1" applyAlignment="1">
      <alignment horizontal="center"/>
    </xf>
    <xf numFmtId="3" fontId="26" fillId="0" borderId="24" xfId="13" applyNumberFormat="1" applyFont="1" applyFill="1" applyBorder="1" applyAlignment="1">
      <alignment horizontal="center"/>
    </xf>
    <xf numFmtId="0" fontId="26" fillId="0" borderId="30" xfId="12" applyFont="1" applyFill="1" applyBorder="1"/>
    <xf numFmtId="166" fontId="26" fillId="0" borderId="0" xfId="12" applyNumberFormat="1" applyFont="1" applyFill="1" applyAlignment="1">
      <alignment horizontal="right"/>
    </xf>
    <xf numFmtId="0" fontId="27" fillId="0" borderId="30" xfId="12" applyFont="1" applyFill="1" applyBorder="1" applyAlignment="1"/>
    <xf numFmtId="0" fontId="26" fillId="0" borderId="0" xfId="12" applyFont="1" applyFill="1" applyAlignment="1">
      <alignment horizontal="right"/>
    </xf>
    <xf numFmtId="167" fontId="26" fillId="0" borderId="0" xfId="12" applyNumberFormat="1" applyFont="1" applyFill="1"/>
    <xf numFmtId="0" fontId="26" fillId="0" borderId="31" xfId="12" applyFont="1" applyFill="1" applyBorder="1" applyAlignment="1">
      <alignment horizontal="center"/>
    </xf>
    <xf numFmtId="166" fontId="26" fillId="0" borderId="32" xfId="12" applyNumberFormat="1" applyFont="1" applyFill="1" applyBorder="1" applyAlignment="1">
      <alignment horizontal="center"/>
    </xf>
    <xf numFmtId="0" fontId="26" fillId="0" borderId="32" xfId="12" applyFont="1" applyFill="1" applyBorder="1" applyAlignment="1">
      <alignment horizontal="center"/>
    </xf>
    <xf numFmtId="3" fontId="26" fillId="0" borderId="32" xfId="12" applyNumberFormat="1" applyFont="1" applyFill="1" applyBorder="1" applyAlignment="1">
      <alignment horizontal="center"/>
    </xf>
    <xf numFmtId="0" fontId="26" fillId="0" borderId="33" xfId="12" applyFont="1" applyFill="1" applyBorder="1"/>
    <xf numFmtId="0" fontId="26" fillId="0" borderId="0" xfId="12" applyFont="1" applyFill="1" applyAlignment="1">
      <alignment wrapText="1"/>
    </xf>
    <xf numFmtId="0" fontId="26" fillId="0" borderId="1" xfId="12" applyFont="1" applyFill="1" applyBorder="1" applyAlignment="1">
      <alignment horizontal="center" textRotation="90" wrapText="1"/>
    </xf>
    <xf numFmtId="0" fontId="26" fillId="0" borderId="1" xfId="12" applyFont="1" applyFill="1" applyBorder="1" applyAlignment="1">
      <alignment horizontal="center" wrapText="1"/>
    </xf>
    <xf numFmtId="0" fontId="4" fillId="0" borderId="1" xfId="0" applyFont="1" applyBorder="1" applyAlignment="1">
      <alignment horizontal="center" wrapText="1"/>
    </xf>
    <xf numFmtId="0" fontId="29" fillId="4" borderId="13" xfId="0" applyFont="1" applyFill="1" applyBorder="1" applyAlignment="1">
      <alignment horizontal="center" wrapText="1"/>
    </xf>
    <xf numFmtId="0" fontId="29" fillId="4" borderId="13" xfId="0" applyFont="1" applyFill="1" applyBorder="1" applyAlignment="1">
      <alignment horizontal="center"/>
    </xf>
    <xf numFmtId="0" fontId="29" fillId="0" borderId="13" xfId="0" applyFont="1" applyBorder="1" applyAlignment="1">
      <alignment horizontal="right"/>
    </xf>
    <xf numFmtId="0" fontId="30" fillId="4" borderId="13" xfId="0" applyFont="1" applyFill="1" applyBorder="1" applyAlignment="1">
      <alignment horizontal="center" wrapText="1"/>
    </xf>
    <xf numFmtId="0" fontId="30" fillId="4" borderId="13" xfId="0" applyFont="1" applyFill="1" applyBorder="1" applyAlignment="1">
      <alignment horizontal="center"/>
    </xf>
    <xf numFmtId="0" fontId="30" fillId="0" borderId="13" xfId="0" applyFont="1" applyBorder="1" applyAlignment="1">
      <alignment horizontal="center"/>
    </xf>
    <xf numFmtId="0" fontId="31" fillId="0" borderId="13" xfId="0" applyFont="1" applyBorder="1" applyAlignment="1">
      <alignment horizontal="right"/>
    </xf>
    <xf numFmtId="0" fontId="30" fillId="0" borderId="13" xfId="0" applyFont="1" applyBorder="1" applyAlignment="1">
      <alignment horizontal="right"/>
    </xf>
    <xf numFmtId="0" fontId="3" fillId="0" borderId="36" xfId="0" applyFont="1" applyBorder="1" applyAlignment="1">
      <alignment vertical="top" wrapText="1"/>
    </xf>
    <xf numFmtId="0" fontId="30" fillId="4" borderId="10" xfId="0" applyFont="1" applyFill="1" applyBorder="1" applyAlignment="1">
      <alignment horizontal="center" wrapText="1"/>
    </xf>
    <xf numFmtId="0" fontId="30" fillId="4" borderId="10" xfId="0" applyFont="1" applyFill="1" applyBorder="1" applyAlignment="1">
      <alignment horizontal="center"/>
    </xf>
    <xf numFmtId="0" fontId="30" fillId="0" borderId="10" xfId="0" applyFont="1" applyBorder="1" applyAlignment="1">
      <alignment horizontal="center"/>
    </xf>
    <xf numFmtId="0" fontId="30" fillId="0" borderId="10" xfId="0" applyFont="1" applyBorder="1" applyAlignment="1">
      <alignment horizontal="right"/>
    </xf>
    <xf numFmtId="0" fontId="30" fillId="0" borderId="0" xfId="0" applyFont="1" applyBorder="1" applyAlignment="1">
      <alignment horizontal="center" wrapText="1"/>
    </xf>
    <xf numFmtId="0" fontId="30" fillId="0" borderId="0" xfId="0" applyFont="1" applyBorder="1" applyAlignment="1">
      <alignment horizontal="center"/>
    </xf>
    <xf numFmtId="0" fontId="30" fillId="0" borderId="0" xfId="0" applyFont="1" applyBorder="1" applyAlignment="1">
      <alignment horizontal="right"/>
    </xf>
    <xf numFmtId="0" fontId="0" fillId="0" borderId="9" xfId="0" applyBorder="1" applyAlignment="1">
      <alignment wrapText="1"/>
    </xf>
    <xf numFmtId="0" fontId="0" fillId="0" borderId="10" xfId="0" applyBorder="1" applyAlignment="1">
      <alignment wrapText="1"/>
    </xf>
    <xf numFmtId="0" fontId="23" fillId="0" borderId="0" xfId="12" applyFont="1" applyFill="1" applyAlignment="1">
      <alignment horizontal="left"/>
    </xf>
    <xf numFmtId="0" fontId="19" fillId="0" borderId="0" xfId="11" applyFont="1"/>
    <xf numFmtId="165" fontId="20" fillId="0" borderId="1" xfId="11" quotePrefix="1" applyNumberFormat="1" applyFont="1" applyFill="1" applyBorder="1" applyAlignment="1" applyProtection="1">
      <alignment vertical="top" wrapText="1"/>
    </xf>
    <xf numFmtId="1" fontId="26" fillId="0" borderId="24" xfId="12" applyNumberFormat="1" applyFont="1" applyFill="1" applyBorder="1" applyAlignment="1">
      <alignment horizontal="center"/>
    </xf>
    <xf numFmtId="0" fontId="0" fillId="0" borderId="1" xfId="0" applyFill="1" applyBorder="1"/>
    <xf numFmtId="168" fontId="23" fillId="0" borderId="0" xfId="0" applyNumberFormat="1" applyFont="1" applyFill="1" applyAlignment="1">
      <alignment horizontal="right" vertical="top"/>
    </xf>
    <xf numFmtId="168" fontId="32" fillId="0" borderId="0" xfId="0" applyNumberFormat="1" applyFont="1" applyFill="1" applyAlignment="1"/>
    <xf numFmtId="0" fontId="23" fillId="0" borderId="0" xfId="12" applyFont="1" applyFill="1" applyAlignment="1">
      <alignment wrapText="1"/>
    </xf>
    <xf numFmtId="1" fontId="26" fillId="0" borderId="1" xfId="12" applyNumberFormat="1" applyFont="1" applyFill="1" applyBorder="1" applyAlignment="1">
      <alignment horizontal="center" wrapText="1"/>
    </xf>
    <xf numFmtId="3" fontId="26" fillId="0" borderId="1" xfId="12" applyNumberFormat="1" applyFont="1" applyFill="1" applyBorder="1" applyAlignment="1">
      <alignment horizontal="center" wrapText="1"/>
    </xf>
    <xf numFmtId="0" fontId="32" fillId="0" borderId="0" xfId="12" applyFont="1" applyFill="1" applyAlignment="1">
      <alignment wrapText="1"/>
    </xf>
    <xf numFmtId="0" fontId="26" fillId="0" borderId="30" xfId="12" applyFont="1" applyFill="1" applyBorder="1" applyAlignment="1">
      <alignment horizontal="left" indent="2"/>
    </xf>
    <xf numFmtId="0" fontId="26" fillId="0" borderId="29" xfId="12" applyFont="1" applyFill="1" applyBorder="1"/>
    <xf numFmtId="0" fontId="26" fillId="0" borderId="30" xfId="12" applyFont="1" applyFill="1" applyBorder="1" applyAlignment="1">
      <alignment horizontal="left" wrapText="1" indent="2"/>
    </xf>
    <xf numFmtId="0" fontId="26" fillId="0" borderId="30" xfId="12" applyFont="1" applyFill="1" applyBorder="1" applyAlignment="1">
      <alignment wrapText="1"/>
    </xf>
    <xf numFmtId="0" fontId="0" fillId="10" borderId="0" xfId="0" applyFill="1"/>
    <xf numFmtId="164" fontId="10" fillId="10" borderId="6" xfId="8" applyNumberFormat="1" applyFont="1" applyFill="1" applyBorder="1" applyAlignment="1">
      <alignment wrapText="1"/>
    </xf>
    <xf numFmtId="1" fontId="10" fillId="10" borderId="5" xfId="8" applyNumberFormat="1" applyFont="1" applyFill="1" applyBorder="1" applyAlignment="1">
      <alignment wrapText="1"/>
    </xf>
    <xf numFmtId="166" fontId="26" fillId="0" borderId="40" xfId="12" applyNumberFormat="1" applyFont="1" applyFill="1" applyBorder="1" applyAlignment="1">
      <alignment horizontal="center"/>
    </xf>
    <xf numFmtId="166" fontId="26" fillId="0" borderId="39" xfId="12" applyNumberFormat="1" applyFont="1" applyFill="1" applyBorder="1" applyAlignment="1">
      <alignment horizontal="center"/>
    </xf>
    <xf numFmtId="3" fontId="26" fillId="0" borderId="39" xfId="12" applyNumberFormat="1" applyFont="1" applyFill="1" applyBorder="1" applyAlignment="1">
      <alignment horizontal="center"/>
    </xf>
    <xf numFmtId="0" fontId="13" fillId="10" borderId="13" xfId="0" applyFont="1" applyFill="1" applyBorder="1" applyAlignment="1">
      <alignment horizontal="center" vertical="top" wrapText="1"/>
    </xf>
    <xf numFmtId="8" fontId="0" fillId="0" borderId="0" xfId="0" applyNumberFormat="1" applyBorder="1"/>
    <xf numFmtId="0" fontId="13" fillId="10" borderId="0" xfId="0" applyFont="1" applyFill="1" applyBorder="1" applyAlignment="1">
      <alignment horizontal="center" vertical="top" wrapText="1"/>
    </xf>
    <xf numFmtId="8" fontId="13" fillId="0" borderId="0" xfId="0" applyNumberFormat="1" applyFont="1" applyBorder="1" applyAlignment="1">
      <alignment horizontal="center" vertical="top" wrapText="1"/>
    </xf>
    <xf numFmtId="17" fontId="0" fillId="0" borderId="7" xfId="0" quotePrefix="1" applyNumberFormat="1" applyBorder="1"/>
    <xf numFmtId="0" fontId="5" fillId="0" borderId="0" xfId="16" applyFont="1"/>
    <xf numFmtId="0" fontId="5" fillId="0" borderId="43" xfId="16" applyFont="1" applyBorder="1"/>
    <xf numFmtId="0" fontId="5" fillId="0" borderId="44" xfId="16" applyFont="1" applyBorder="1" applyAlignment="1">
      <alignment wrapText="1"/>
    </xf>
    <xf numFmtId="0" fontId="5" fillId="0" borderId="45" xfId="16" applyFont="1" applyBorder="1"/>
    <xf numFmtId="0" fontId="5" fillId="0" borderId="11" xfId="16" applyFont="1" applyBorder="1" applyAlignment="1">
      <alignment wrapText="1"/>
    </xf>
    <xf numFmtId="0" fontId="5" fillId="0" borderId="13" xfId="16" applyFont="1" applyBorder="1"/>
    <xf numFmtId="0" fontId="5" fillId="0" borderId="9" xfId="16" applyFont="1" applyBorder="1"/>
    <xf numFmtId="169" fontId="5" fillId="0" borderId="46" xfId="13" applyNumberFormat="1" applyFont="1" applyFill="1" applyBorder="1"/>
    <xf numFmtId="169" fontId="5" fillId="0" borderId="48" xfId="13" applyNumberFormat="1" applyFont="1" applyFill="1" applyBorder="1"/>
    <xf numFmtId="0" fontId="5" fillId="0" borderId="11" xfId="16" applyFont="1" applyBorder="1"/>
    <xf numFmtId="169" fontId="5" fillId="0" borderId="50" xfId="13" applyNumberFormat="1" applyFont="1" applyBorder="1"/>
    <xf numFmtId="43" fontId="5" fillId="0" borderId="0" xfId="16" applyNumberFormat="1" applyFont="1"/>
    <xf numFmtId="0" fontId="34" fillId="0" borderId="9" xfId="16" applyFont="1" applyBorder="1"/>
    <xf numFmtId="169" fontId="5" fillId="12" borderId="9" xfId="13" applyNumberFormat="1" applyFont="1" applyFill="1" applyBorder="1"/>
    <xf numFmtId="169" fontId="5" fillId="12" borderId="0" xfId="13" applyNumberFormat="1" applyFont="1" applyFill="1" applyBorder="1"/>
    <xf numFmtId="170" fontId="5" fillId="0" borderId="18" xfId="14" applyNumberFormat="1" applyFont="1" applyBorder="1"/>
    <xf numFmtId="0" fontId="34" fillId="0" borderId="11" xfId="16" applyFont="1" applyBorder="1"/>
    <xf numFmtId="43" fontId="5" fillId="12" borderId="11" xfId="13" applyNumberFormat="1" applyFont="1" applyFill="1" applyBorder="1"/>
    <xf numFmtId="169" fontId="5" fillId="12" borderId="12" xfId="13" applyNumberFormat="1" applyFont="1" applyFill="1" applyBorder="1"/>
    <xf numFmtId="0" fontId="35" fillId="0" borderId="0" xfId="21"/>
    <xf numFmtId="0" fontId="19" fillId="0" borderId="0" xfId="21" applyFont="1"/>
    <xf numFmtId="0" fontId="35" fillId="0" borderId="1" xfId="21" applyBorder="1"/>
    <xf numFmtId="0" fontId="35" fillId="0" borderId="0" xfId="21" applyFill="1"/>
    <xf numFmtId="0" fontId="35" fillId="0" borderId="0" xfId="21" applyFill="1" applyAlignment="1">
      <alignment horizontal="center"/>
    </xf>
    <xf numFmtId="3" fontId="35" fillId="0" borderId="0" xfId="21" applyNumberFormat="1" applyFill="1" applyAlignment="1">
      <alignment horizontal="center" wrapText="1"/>
    </xf>
    <xf numFmtId="0" fontId="35" fillId="0" borderId="0" xfId="21" applyFill="1" applyAlignment="1">
      <alignment horizontal="center" wrapText="1"/>
    </xf>
    <xf numFmtId="0" fontId="5" fillId="0" borderId="0" xfId="21" applyFont="1" applyFill="1" applyBorder="1"/>
    <xf numFmtId="0" fontId="5" fillId="0" borderId="0" xfId="21" applyFont="1" applyFill="1"/>
    <xf numFmtId="0" fontId="5" fillId="0" borderId="0" xfId="21" applyFont="1" applyFill="1" applyAlignment="1">
      <alignment horizontal="center"/>
    </xf>
    <xf numFmtId="3" fontId="5" fillId="0" borderId="0" xfId="21" applyNumberFormat="1" applyFont="1" applyFill="1" applyAlignment="1">
      <alignment horizontal="center" wrapText="1"/>
    </xf>
    <xf numFmtId="0" fontId="5" fillId="0" borderId="0" xfId="21" applyFont="1" applyFill="1" applyAlignment="1">
      <alignment horizontal="center" wrapText="1"/>
    </xf>
    <xf numFmtId="0" fontId="35" fillId="0" borderId="53" xfId="21" applyFill="1" applyBorder="1" applyAlignment="1">
      <alignment horizontal="center"/>
    </xf>
    <xf numFmtId="3" fontId="35" fillId="0" borderId="54" xfId="21" applyNumberFormat="1" applyFill="1" applyBorder="1" applyAlignment="1">
      <alignment horizontal="center" wrapText="1"/>
    </xf>
    <xf numFmtId="3" fontId="19" fillId="0" borderId="54" xfId="21" applyNumberFormat="1" applyFont="1" applyFill="1" applyBorder="1" applyAlignment="1">
      <alignment horizontal="center" wrapText="1"/>
    </xf>
    <xf numFmtId="3" fontId="35" fillId="0" borderId="54" xfId="21" applyNumberFormat="1" applyFill="1" applyBorder="1" applyAlignment="1">
      <alignment horizontal="center"/>
    </xf>
    <xf numFmtId="0" fontId="35" fillId="0" borderId="54" xfId="21" applyFill="1" applyBorder="1" applyAlignment="1">
      <alignment horizontal="center" wrapText="1"/>
    </xf>
    <xf numFmtId="0" fontId="35" fillId="0" borderId="54" xfId="21" applyFill="1" applyBorder="1" applyAlignment="1">
      <alignment horizontal="center"/>
    </xf>
    <xf numFmtId="0" fontId="35" fillId="0" borderId="54" xfId="21" applyFill="1" applyBorder="1"/>
    <xf numFmtId="0" fontId="19" fillId="0" borderId="55" xfId="21" applyFont="1" applyFill="1" applyBorder="1" applyAlignment="1">
      <alignment vertical="center"/>
    </xf>
    <xf numFmtId="0" fontId="35" fillId="0" borderId="56" xfId="21" applyFill="1" applyBorder="1" applyAlignment="1">
      <alignment horizontal="center"/>
    </xf>
    <xf numFmtId="166" fontId="19" fillId="0" borderId="57" xfId="21" applyNumberFormat="1" applyFont="1" applyFill="1" applyBorder="1" applyAlignment="1">
      <alignment horizontal="center" wrapText="1"/>
    </xf>
    <xf numFmtId="3" fontId="35" fillId="0" borderId="57" xfId="21" applyNumberFormat="1" applyFill="1" applyBorder="1" applyAlignment="1">
      <alignment horizontal="center" wrapText="1"/>
    </xf>
    <xf numFmtId="0" fontId="35" fillId="0" borderId="57" xfId="21" applyFill="1" applyBorder="1" applyAlignment="1">
      <alignment horizontal="center" wrapText="1"/>
    </xf>
    <xf numFmtId="0" fontId="35" fillId="0" borderId="57" xfId="21" applyFill="1" applyBorder="1"/>
    <xf numFmtId="3" fontId="35" fillId="0" borderId="57" xfId="21" applyNumberFormat="1" applyFill="1" applyBorder="1"/>
    <xf numFmtId="3" fontId="19" fillId="0" borderId="57" xfId="21" applyNumberFormat="1" applyFont="1" applyFill="1" applyBorder="1" applyAlignment="1">
      <alignment vertical="top"/>
    </xf>
    <xf numFmtId="49" fontId="19" fillId="0" borderId="57" xfId="21" applyNumberFormat="1" applyFont="1" applyFill="1" applyBorder="1" applyAlignment="1">
      <alignment vertical="top"/>
    </xf>
    <xf numFmtId="49" fontId="19" fillId="0" borderId="58" xfId="21" applyNumberFormat="1" applyFont="1" applyFill="1" applyBorder="1" applyAlignment="1">
      <alignment vertical="center"/>
    </xf>
    <xf numFmtId="166" fontId="35" fillId="0" borderId="54" xfId="21" applyNumberFormat="1" applyFill="1" applyBorder="1" applyAlignment="1">
      <alignment horizontal="center" wrapText="1"/>
    </xf>
    <xf numFmtId="39" fontId="35" fillId="0" borderId="54" xfId="21" applyNumberFormat="1" applyFill="1" applyBorder="1" applyAlignment="1">
      <alignment horizontal="center" wrapText="1"/>
    </xf>
    <xf numFmtId="0" fontId="6" fillId="0" borderId="54" xfId="21" applyFont="1" applyFill="1" applyBorder="1"/>
    <xf numFmtId="49" fontId="6" fillId="0" borderId="54" xfId="21" applyNumberFormat="1" applyFont="1" applyFill="1" applyBorder="1" applyAlignment="1">
      <alignment vertical="top"/>
    </xf>
    <xf numFmtId="3" fontId="6" fillId="0" borderId="54" xfId="21" applyNumberFormat="1" applyFont="1" applyFill="1" applyBorder="1" applyAlignment="1">
      <alignment vertical="top"/>
    </xf>
    <xf numFmtId="49" fontId="6" fillId="0" borderId="55" xfId="21" applyNumberFormat="1" applyFont="1" applyFill="1" applyBorder="1" applyAlignment="1">
      <alignment vertical="top"/>
    </xf>
    <xf numFmtId="0" fontId="35" fillId="0" borderId="62" xfId="21" applyFill="1" applyBorder="1" applyAlignment="1">
      <alignment horizontal="center"/>
    </xf>
    <xf numFmtId="166" fontId="35" fillId="0" borderId="24" xfId="21" applyNumberFormat="1" applyFill="1" applyBorder="1" applyAlignment="1">
      <alignment horizontal="center" wrapText="1"/>
    </xf>
    <xf numFmtId="3" fontId="35" fillId="0" borderId="24" xfId="21" applyNumberFormat="1" applyFill="1" applyBorder="1" applyAlignment="1">
      <alignment horizontal="center" wrapText="1"/>
    </xf>
    <xf numFmtId="0" fontId="35" fillId="0" borderId="24" xfId="21" applyFill="1" applyBorder="1" applyAlignment="1">
      <alignment horizontal="center" wrapText="1"/>
    </xf>
    <xf numFmtId="0" fontId="6" fillId="0" borderId="24" xfId="21" applyFont="1" applyFill="1" applyBorder="1"/>
    <xf numFmtId="3" fontId="6" fillId="0" borderId="24" xfId="21" applyNumberFormat="1" applyFont="1" applyFill="1" applyBorder="1"/>
    <xf numFmtId="49" fontId="6" fillId="0" borderId="24" xfId="21" applyNumberFormat="1" applyFont="1" applyFill="1" applyBorder="1" applyAlignment="1">
      <alignment vertical="top"/>
    </xf>
    <xf numFmtId="49" fontId="6" fillId="0" borderId="63" xfId="21" applyNumberFormat="1" applyFont="1" applyFill="1" applyBorder="1" applyAlignment="1">
      <alignment vertical="top"/>
    </xf>
    <xf numFmtId="0" fontId="35" fillId="0" borderId="24" xfId="21" applyFill="1" applyBorder="1"/>
    <xf numFmtId="3" fontId="6" fillId="0" borderId="24" xfId="21" applyNumberFormat="1" applyFont="1" applyFill="1" applyBorder="1" applyAlignment="1">
      <alignment vertical="top"/>
    </xf>
    <xf numFmtId="3" fontId="6" fillId="0" borderId="24" xfId="21" quotePrefix="1" applyNumberFormat="1" applyFont="1" applyFill="1" applyBorder="1" applyAlignment="1">
      <alignment vertical="top"/>
    </xf>
    <xf numFmtId="49" fontId="6" fillId="0" borderId="24" xfId="21" applyNumberFormat="1" applyFont="1" applyFill="1" applyBorder="1"/>
    <xf numFmtId="0" fontId="6" fillId="0" borderId="62" xfId="21" applyFont="1" applyFill="1" applyBorder="1" applyAlignment="1">
      <alignment horizontal="center"/>
    </xf>
    <xf numFmtId="166" fontId="35" fillId="0" borderId="32" xfId="21" applyNumberFormat="1" applyFill="1" applyBorder="1" applyAlignment="1">
      <alignment horizontal="center" wrapText="1"/>
    </xf>
    <xf numFmtId="3" fontId="35" fillId="0" borderId="32" xfId="21" applyNumberFormat="1" applyFill="1" applyBorder="1" applyAlignment="1">
      <alignment horizontal="center" wrapText="1"/>
    </xf>
    <xf numFmtId="0" fontId="35" fillId="0" borderId="32" xfId="21" applyFill="1" applyBorder="1" applyAlignment="1">
      <alignment horizontal="center" wrapText="1"/>
    </xf>
    <xf numFmtId="0" fontId="19" fillId="0" borderId="32" xfId="21" applyFont="1" applyFill="1" applyBorder="1"/>
    <xf numFmtId="0" fontId="6" fillId="0" borderId="32" xfId="21" applyFont="1" applyFill="1" applyBorder="1"/>
    <xf numFmtId="49" fontId="6" fillId="0" borderId="65" xfId="21" applyNumberFormat="1" applyFont="1" applyFill="1" applyBorder="1"/>
    <xf numFmtId="0" fontId="19" fillId="0" borderId="0" xfId="21" applyFont="1" applyFill="1"/>
    <xf numFmtId="0" fontId="6" fillId="0" borderId="66" xfId="21" applyFont="1" applyFill="1" applyBorder="1" applyAlignment="1">
      <alignment horizontal="center" textRotation="90"/>
    </xf>
    <xf numFmtId="3" fontId="6" fillId="0" borderId="67" xfId="21" applyNumberFormat="1" applyFont="1" applyFill="1" applyBorder="1" applyAlignment="1">
      <alignment horizontal="center" wrapText="1"/>
    </xf>
    <xf numFmtId="0" fontId="6" fillId="0" borderId="67" xfId="21" applyFont="1" applyFill="1" applyBorder="1" applyAlignment="1">
      <alignment horizontal="center" wrapText="1"/>
    </xf>
    <xf numFmtId="0" fontId="6" fillId="0" borderId="68" xfId="21" applyFont="1" applyFill="1" applyBorder="1"/>
    <xf numFmtId="0" fontId="6" fillId="0" borderId="69" xfId="21" applyFont="1" applyFill="1" applyBorder="1"/>
    <xf numFmtId="168" fontId="5" fillId="13" borderId="0" xfId="0" applyNumberFormat="1" applyFont="1" applyFill="1" applyBorder="1"/>
    <xf numFmtId="168" fontId="5" fillId="0" borderId="0" xfId="0" applyNumberFormat="1" applyFont="1" applyBorder="1"/>
    <xf numFmtId="168" fontId="5" fillId="0" borderId="0" xfId="0" applyNumberFormat="1" applyFont="1"/>
    <xf numFmtId="0" fontId="37" fillId="0" borderId="0" xfId="0" applyFont="1"/>
    <xf numFmtId="0" fontId="37" fillId="0" borderId="0" xfId="0" applyFont="1" applyAlignment="1">
      <alignment horizontal="left" indent="15"/>
    </xf>
    <xf numFmtId="0" fontId="38" fillId="0" borderId="0" xfId="0" applyFont="1"/>
    <xf numFmtId="0" fontId="6" fillId="0" borderId="0" xfId="21" applyFont="1"/>
    <xf numFmtId="49" fontId="6" fillId="0" borderId="41" xfId="21" applyNumberFormat="1" applyFont="1" applyFill="1" applyBorder="1" applyAlignment="1">
      <alignment vertical="top"/>
    </xf>
    <xf numFmtId="0" fontId="35" fillId="0" borderId="42" xfId="21" applyFill="1" applyBorder="1"/>
    <xf numFmtId="0" fontId="35" fillId="0" borderId="35" xfId="21" applyFill="1" applyBorder="1"/>
    <xf numFmtId="0" fontId="39" fillId="0" borderId="0" xfId="16" applyFont="1"/>
    <xf numFmtId="0" fontId="6" fillId="0" borderId="47" xfId="16" applyFont="1" applyBorder="1" applyAlignment="1">
      <alignment wrapText="1"/>
    </xf>
    <xf numFmtId="0" fontId="6" fillId="0" borderId="0" xfId="16" applyFont="1" applyFill="1"/>
    <xf numFmtId="0" fontId="6" fillId="0" borderId="53" xfId="21" applyFont="1" applyFill="1" applyBorder="1" applyAlignment="1">
      <alignment horizontal="center"/>
    </xf>
    <xf numFmtId="169" fontId="5" fillId="0" borderId="0" xfId="13" applyNumberFormat="1" applyFont="1" applyFill="1" applyBorder="1"/>
    <xf numFmtId="8" fontId="0" fillId="0" borderId="0" xfId="0" applyNumberFormat="1"/>
    <xf numFmtId="170" fontId="5" fillId="0" borderId="0" xfId="14" applyNumberFormat="1" applyFont="1" applyFill="1" applyBorder="1"/>
    <xf numFmtId="170" fontId="5" fillId="0" borderId="0" xfId="14" applyNumberFormat="1" applyFont="1" applyBorder="1"/>
    <xf numFmtId="0" fontId="0" fillId="0" borderId="0" xfId="0" applyFill="1"/>
    <xf numFmtId="0" fontId="43" fillId="5" borderId="4" xfId="25" applyFont="1" applyFill="1" applyBorder="1" applyAlignment="1">
      <alignment horizontal="center"/>
    </xf>
    <xf numFmtId="0" fontId="10" fillId="6" borderId="75" xfId="8" applyFont="1" applyFill="1" applyBorder="1" applyAlignment="1">
      <alignment horizontal="center" wrapText="1"/>
    </xf>
    <xf numFmtId="0" fontId="10" fillId="6" borderId="76" xfId="8" applyFont="1" applyFill="1" applyBorder="1" applyAlignment="1">
      <alignment horizontal="center" wrapText="1"/>
    </xf>
    <xf numFmtId="0" fontId="2" fillId="3" borderId="77" xfId="2" applyBorder="1" applyAlignment="1">
      <alignment horizontal="center" wrapText="1"/>
    </xf>
    <xf numFmtId="0" fontId="0" fillId="17" borderId="0" xfId="24" applyFont="1" applyAlignment="1">
      <alignment wrapText="1"/>
    </xf>
    <xf numFmtId="0" fontId="40" fillId="15" borderId="36" xfId="22" applyBorder="1" applyAlignment="1">
      <alignment horizontal="center" wrapText="1"/>
    </xf>
    <xf numFmtId="0" fontId="40" fillId="15" borderId="0" xfId="22" applyBorder="1" applyAlignment="1">
      <alignment horizontal="center" wrapText="1"/>
    </xf>
    <xf numFmtId="0" fontId="0" fillId="0" borderId="0" xfId="24" applyFont="1" applyFill="1" applyAlignment="1">
      <alignment wrapText="1"/>
    </xf>
    <xf numFmtId="0" fontId="43" fillId="0" borderId="5" xfId="25" applyFont="1" applyFill="1" applyBorder="1" applyAlignment="1">
      <alignment wrapText="1"/>
    </xf>
    <xf numFmtId="0" fontId="43" fillId="0" borderId="5" xfId="25" applyFont="1" applyFill="1" applyBorder="1" applyAlignment="1">
      <alignment horizontal="right" wrapText="1"/>
    </xf>
    <xf numFmtId="0" fontId="10" fillId="0" borderId="5" xfId="8" applyNumberFormat="1" applyFont="1" applyFill="1" applyBorder="1" applyAlignment="1">
      <alignment wrapText="1"/>
    </xf>
    <xf numFmtId="8" fontId="10" fillId="0" borderId="5" xfId="8" applyNumberFormat="1" applyFont="1" applyFill="1" applyBorder="1" applyAlignment="1">
      <alignment wrapText="1"/>
    </xf>
    <xf numFmtId="0" fontId="10" fillId="0" borderId="5" xfId="8" applyFont="1" applyFill="1" applyBorder="1" applyAlignment="1">
      <alignment wrapText="1"/>
    </xf>
    <xf numFmtId="0" fontId="10" fillId="0" borderId="6" xfId="8" applyFont="1" applyFill="1" applyBorder="1" applyAlignment="1">
      <alignment wrapText="1"/>
    </xf>
    <xf numFmtId="8" fontId="0" fillId="0" borderId="0" xfId="0" applyNumberFormat="1" applyFill="1"/>
    <xf numFmtId="0" fontId="45" fillId="0" borderId="0" xfId="0" applyFont="1"/>
    <xf numFmtId="0" fontId="0" fillId="0" borderId="1" xfId="0" applyBorder="1" applyAlignment="1">
      <alignment horizontal="left"/>
    </xf>
    <xf numFmtId="0" fontId="44" fillId="0" borderId="0" xfId="0" applyFont="1"/>
    <xf numFmtId="0" fontId="0" fillId="0" borderId="1" xfId="0" applyFill="1" applyBorder="1" applyAlignment="1">
      <alignment wrapText="1"/>
    </xf>
    <xf numFmtId="0" fontId="0" fillId="14" borderId="1" xfId="0" applyFill="1" applyBorder="1"/>
    <xf numFmtId="0" fontId="0" fillId="0" borderId="0" xfId="0" applyFont="1"/>
    <xf numFmtId="0" fontId="10" fillId="5" borderId="4" xfId="26" applyFont="1" applyFill="1" applyBorder="1" applyAlignment="1">
      <alignment horizontal="center"/>
    </xf>
    <xf numFmtId="0" fontId="10" fillId="0" borderId="5" xfId="26" applyFont="1" applyFill="1" applyBorder="1" applyAlignment="1">
      <alignment wrapText="1"/>
    </xf>
    <xf numFmtId="0" fontId="10" fillId="0" borderId="5" xfId="26" applyFont="1" applyFill="1" applyBorder="1" applyAlignment="1">
      <alignment horizontal="right" wrapText="1"/>
    </xf>
    <xf numFmtId="0" fontId="46" fillId="19" borderId="1" xfId="0" applyFont="1" applyFill="1" applyBorder="1" applyAlignment="1">
      <alignment horizontal="center" wrapText="1"/>
    </xf>
    <xf numFmtId="0" fontId="0" fillId="19" borderId="1" xfId="0" applyFill="1" applyBorder="1" applyAlignment="1">
      <alignment wrapText="1"/>
    </xf>
    <xf numFmtId="0" fontId="0" fillId="19" borderId="1" xfId="0" applyFill="1" applyBorder="1"/>
    <xf numFmtId="0" fontId="31" fillId="0" borderId="1" xfId="0" applyFont="1" applyBorder="1"/>
    <xf numFmtId="0" fontId="47" fillId="0" borderId="1" xfId="0" applyFont="1" applyBorder="1" applyAlignment="1">
      <alignment horizontal="center" vertical="top" wrapText="1"/>
    </xf>
    <xf numFmtId="8" fontId="47" fillId="0" borderId="1" xfId="0" applyNumberFormat="1" applyFont="1" applyBorder="1" applyAlignment="1">
      <alignment horizontal="center" vertical="top" wrapText="1"/>
    </xf>
    <xf numFmtId="8" fontId="0" fillId="0" borderId="1" xfId="0" applyNumberFormat="1" applyBorder="1"/>
    <xf numFmtId="172" fontId="6" fillId="0" borderId="0" xfId="14" applyNumberFormat="1" applyFont="1" applyFill="1"/>
    <xf numFmtId="0" fontId="6" fillId="0" borderId="0" xfId="16" applyFont="1" applyFill="1" applyAlignment="1">
      <alignment wrapText="1"/>
    </xf>
    <xf numFmtId="172" fontId="48" fillId="0" borderId="1" xfId="14" applyNumberFormat="1" applyFont="1" applyFill="1" applyBorder="1" applyAlignment="1">
      <alignment horizontal="right" vertical="top"/>
    </xf>
    <xf numFmtId="172" fontId="48" fillId="0" borderId="1" xfId="16" applyNumberFormat="1" applyFont="1" applyFill="1" applyBorder="1" applyAlignment="1">
      <alignment horizontal="right" vertical="top"/>
    </xf>
    <xf numFmtId="0" fontId="48" fillId="0" borderId="1" xfId="16" applyFont="1" applyFill="1" applyBorder="1" applyAlignment="1">
      <alignment horizontal="left" vertical="top"/>
    </xf>
    <xf numFmtId="0" fontId="48" fillId="0" borderId="1" xfId="16" applyFont="1" applyFill="1" applyBorder="1" applyAlignment="1">
      <alignment horizontal="left" vertical="top" wrapText="1"/>
    </xf>
    <xf numFmtId="3" fontId="49" fillId="0" borderId="70" xfId="16" applyNumberFormat="1" applyFont="1" applyFill="1" applyBorder="1" applyAlignment="1">
      <alignment horizontal="right" vertical="top"/>
    </xf>
    <xf numFmtId="172" fontId="6" fillId="0" borderId="0" xfId="16" applyNumberFormat="1" applyFont="1" applyFill="1"/>
    <xf numFmtId="166" fontId="19" fillId="0" borderId="16" xfId="16" applyNumberFormat="1" applyFont="1" applyFill="1" applyBorder="1"/>
    <xf numFmtId="166" fontId="19" fillId="0" borderId="16" xfId="16" applyNumberFormat="1" applyFont="1" applyFill="1" applyBorder="1" applyAlignment="1">
      <alignment horizontal="right" wrapText="1"/>
    </xf>
    <xf numFmtId="0" fontId="19" fillId="0" borderId="16" xfId="16" applyNumberFormat="1" applyFont="1" applyFill="1" applyBorder="1" applyAlignment="1">
      <alignment horizontal="center" vertical="center" wrapText="1"/>
    </xf>
    <xf numFmtId="171" fontId="19" fillId="0" borderId="16" xfId="16" applyNumberFormat="1" applyFont="1" applyFill="1" applyBorder="1" applyAlignment="1">
      <alignment horizontal="center" vertical="center" wrapText="1"/>
    </xf>
    <xf numFmtId="0" fontId="19" fillId="0" borderId="16" xfId="16" applyFont="1" applyFill="1" applyBorder="1" applyAlignment="1">
      <alignment horizontal="left" vertical="top" wrapText="1"/>
    </xf>
    <xf numFmtId="172" fontId="48" fillId="0" borderId="1" xfId="14" applyNumberFormat="1" applyFont="1" applyFill="1" applyBorder="1" applyAlignment="1">
      <alignment horizontal="left" vertical="center"/>
    </xf>
    <xf numFmtId="0" fontId="48" fillId="0" borderId="1" xfId="16" applyFont="1" applyFill="1" applyBorder="1" applyAlignment="1">
      <alignment horizontal="left" vertical="center"/>
    </xf>
    <xf numFmtId="0" fontId="48" fillId="0" borderId="1" xfId="16" applyFont="1" applyFill="1" applyBorder="1" applyAlignment="1">
      <alignment horizontal="left" vertical="center" wrapText="1"/>
    </xf>
    <xf numFmtId="0" fontId="49" fillId="0" borderId="78" xfId="16" applyFont="1" applyFill="1" applyBorder="1" applyAlignment="1">
      <alignment horizontal="left" vertical="center"/>
    </xf>
    <xf numFmtId="0" fontId="39" fillId="0" borderId="0" xfId="16" applyFont="1" applyAlignment="1">
      <alignment wrapText="1"/>
    </xf>
    <xf numFmtId="0" fontId="6" fillId="0" borderId="0" xfId="27"/>
    <xf numFmtId="0" fontId="6" fillId="0" borderId="1" xfId="27" applyBorder="1"/>
    <xf numFmtId="167" fontId="6" fillId="0" borderId="1" xfId="27" applyNumberFormat="1" applyBorder="1"/>
    <xf numFmtId="166" fontId="6" fillId="0" borderId="1" xfId="27" applyNumberFormat="1" applyBorder="1"/>
    <xf numFmtId="0" fontId="0" fillId="20" borderId="1" xfId="0" applyFill="1" applyBorder="1"/>
    <xf numFmtId="8" fontId="0" fillId="4" borderId="0" xfId="0" applyNumberFormat="1" applyFill="1"/>
    <xf numFmtId="0" fontId="50" fillId="0" borderId="16" xfId="0" applyFont="1" applyFill="1" applyBorder="1" applyAlignment="1">
      <alignment wrapText="1"/>
    </xf>
    <xf numFmtId="0" fontId="50" fillId="0" borderId="0" xfId="0" applyFont="1" applyFill="1" applyBorder="1" applyAlignment="1">
      <alignment wrapText="1"/>
    </xf>
    <xf numFmtId="0" fontId="0" fillId="0" borderId="1" xfId="0" quotePrefix="1" applyBorder="1"/>
    <xf numFmtId="0" fontId="44" fillId="10" borderId="1" xfId="0" applyFont="1" applyFill="1" applyBorder="1" applyAlignment="1">
      <alignment wrapText="1"/>
    </xf>
    <xf numFmtId="0" fontId="51" fillId="0" borderId="0" xfId="0" applyFont="1"/>
    <xf numFmtId="2" fontId="0" fillId="0" borderId="0" xfId="0" applyNumberFormat="1"/>
    <xf numFmtId="0" fontId="3" fillId="0" borderId="0" xfId="0" applyFont="1" applyFill="1" applyBorder="1" applyAlignment="1">
      <alignment vertical="top" wrapText="1"/>
    </xf>
    <xf numFmtId="0" fontId="3" fillId="9" borderId="1" xfId="0" applyFont="1" applyFill="1" applyBorder="1" applyAlignment="1">
      <alignment vertical="top" wrapText="1"/>
    </xf>
    <xf numFmtId="0" fontId="19" fillId="11" borderId="37" xfId="16" applyFont="1" applyFill="1" applyBorder="1" applyAlignment="1">
      <alignment horizontal="center"/>
    </xf>
    <xf numFmtId="0" fontId="19" fillId="11" borderId="38" xfId="16" applyFont="1" applyFill="1" applyBorder="1" applyAlignment="1">
      <alignment horizontal="center"/>
    </xf>
    <xf numFmtId="0" fontId="26" fillId="0" borderId="39" xfId="12" applyFont="1" applyFill="1" applyBorder="1" applyAlignment="1">
      <alignment horizontal="center"/>
    </xf>
    <xf numFmtId="0" fontId="23" fillId="0" borderId="0" xfId="12" applyFont="1" applyFill="1" applyAlignment="1">
      <alignment horizontal="left" wrapText="1"/>
    </xf>
    <xf numFmtId="0" fontId="19" fillId="11" borderId="37" xfId="16" applyFont="1" applyFill="1" applyBorder="1" applyAlignment="1"/>
    <xf numFmtId="0" fontId="24" fillId="21" borderId="7" xfId="16" applyFont="1" applyFill="1" applyBorder="1"/>
    <xf numFmtId="0" fontId="19" fillId="11" borderId="38" xfId="16" applyFont="1" applyFill="1" applyBorder="1" applyAlignment="1"/>
    <xf numFmtId="170" fontId="5" fillId="0" borderId="46" xfId="28" applyNumberFormat="1" applyFont="1" applyFill="1" applyBorder="1"/>
    <xf numFmtId="169" fontId="5" fillId="10" borderId="52" xfId="13" applyNumberFormat="1" applyFont="1" applyFill="1" applyBorder="1"/>
    <xf numFmtId="170" fontId="5" fillId="0" borderId="52" xfId="28" applyNumberFormat="1" applyFont="1" applyBorder="1"/>
    <xf numFmtId="169" fontId="5" fillId="0" borderId="51" xfId="13" applyNumberFormat="1" applyFont="1" applyBorder="1"/>
    <xf numFmtId="169" fontId="5" fillId="12" borderId="10" xfId="13" applyNumberFormat="1" applyFont="1" applyFill="1" applyBorder="1"/>
    <xf numFmtId="169" fontId="5" fillId="12" borderId="13" xfId="13" applyNumberFormat="1" applyFont="1" applyFill="1" applyBorder="1"/>
    <xf numFmtId="43" fontId="5" fillId="0" borderId="15" xfId="13" applyNumberFormat="1" applyFont="1" applyBorder="1"/>
    <xf numFmtId="0" fontId="5" fillId="12" borderId="13" xfId="13" applyNumberFormat="1" applyFont="1" applyFill="1" applyBorder="1"/>
    <xf numFmtId="0" fontId="5" fillId="11" borderId="7" xfId="16" applyFont="1" applyFill="1" applyBorder="1" applyAlignment="1">
      <alignment horizontal="center"/>
    </xf>
    <xf numFmtId="0" fontId="5" fillId="0" borderId="15" xfId="16" applyFont="1" applyBorder="1"/>
    <xf numFmtId="3" fontId="5" fillId="0" borderId="18" xfId="16" applyNumberFormat="1" applyFont="1" applyBorder="1"/>
    <xf numFmtId="3" fontId="5" fillId="0" borderId="17" xfId="16" applyNumberFormat="1" applyFont="1" applyBorder="1"/>
    <xf numFmtId="169" fontId="5" fillId="10" borderId="79" xfId="13" applyNumberFormat="1" applyFont="1" applyFill="1" applyBorder="1"/>
    <xf numFmtId="169" fontId="5" fillId="0" borderId="0" xfId="13" applyNumberFormat="1" applyFont="1" applyBorder="1"/>
    <xf numFmtId="0" fontId="5" fillId="0" borderId="12" xfId="16" applyFont="1" applyBorder="1" applyAlignment="1">
      <alignment wrapText="1"/>
    </xf>
    <xf numFmtId="43" fontId="5" fillId="0" borderId="12" xfId="13" applyNumberFormat="1" applyFont="1" applyBorder="1"/>
    <xf numFmtId="170" fontId="5" fillId="10" borderId="80" xfId="28" applyNumberFormat="1" applyFont="1" applyFill="1" applyBorder="1"/>
    <xf numFmtId="170" fontId="5" fillId="0" borderId="52" xfId="28" applyNumberFormat="1" applyFont="1" applyFill="1" applyBorder="1"/>
    <xf numFmtId="0" fontId="26" fillId="0" borderId="39" xfId="12" applyFont="1" applyFill="1" applyBorder="1" applyAlignment="1">
      <alignment horizontal="center"/>
    </xf>
    <xf numFmtId="0" fontId="19" fillId="11" borderId="14" xfId="16" applyFont="1" applyFill="1" applyBorder="1" applyAlignment="1">
      <alignment horizontal="center"/>
    </xf>
    <xf numFmtId="169" fontId="5" fillId="0" borderId="81" xfId="13" applyNumberFormat="1" applyFont="1" applyFill="1" applyBorder="1"/>
    <xf numFmtId="170" fontId="5" fillId="0" borderId="0" xfId="28" applyNumberFormat="1" applyFont="1" applyFill="1" applyBorder="1"/>
    <xf numFmtId="0" fontId="5" fillId="0" borderId="13" xfId="16" applyFont="1" applyBorder="1" applyAlignment="1">
      <alignment wrapText="1"/>
    </xf>
    <xf numFmtId="0" fontId="5" fillId="0" borderId="43" xfId="16" applyFont="1" applyBorder="1" applyAlignment="1">
      <alignment wrapText="1"/>
    </xf>
    <xf numFmtId="0" fontId="5" fillId="0" borderId="45" xfId="16" applyFont="1" applyBorder="1" applyAlignment="1">
      <alignment wrapText="1"/>
    </xf>
    <xf numFmtId="0" fontId="26" fillId="0" borderId="39" xfId="12" applyFont="1" applyFill="1" applyBorder="1" applyAlignment="1">
      <alignment horizontal="center"/>
    </xf>
    <xf numFmtId="0" fontId="6" fillId="0" borderId="0" xfId="21" applyFont="1" applyFill="1"/>
    <xf numFmtId="0" fontId="52" fillId="0" borderId="0" xfId="21" applyFont="1" applyFill="1"/>
    <xf numFmtId="166" fontId="35" fillId="0" borderId="0" xfId="21" applyNumberFormat="1"/>
    <xf numFmtId="0" fontId="53" fillId="0" borderId="0" xfId="21" applyFont="1" applyFill="1"/>
    <xf numFmtId="0" fontId="54" fillId="0" borderId="0" xfId="21" applyFont="1" applyFill="1"/>
    <xf numFmtId="0" fontId="55" fillId="0" borderId="0" xfId="0" applyFont="1"/>
    <xf numFmtId="0" fontId="6" fillId="0" borderId="64" xfId="21" applyFont="1" applyFill="1" applyBorder="1" applyAlignment="1">
      <alignment horizontal="center"/>
    </xf>
    <xf numFmtId="0" fontId="6" fillId="0" borderId="0" xfId="21" applyFont="1" applyFill="1" applyAlignment="1">
      <alignment horizontal="center" wrapText="1"/>
    </xf>
    <xf numFmtId="3" fontId="6" fillId="0" borderId="0" xfId="21" applyNumberFormat="1" applyFont="1" applyFill="1" applyAlignment="1">
      <alignment horizontal="center" wrapText="1"/>
    </xf>
    <xf numFmtId="0" fontId="6" fillId="0" borderId="0" xfId="21" applyFont="1" applyFill="1" applyAlignment="1">
      <alignment horizontal="center"/>
    </xf>
    <xf numFmtId="0" fontId="57" fillId="0" borderId="0" xfId="0" applyFont="1"/>
    <xf numFmtId="0" fontId="57" fillId="0" borderId="1" xfId="0" applyFont="1" applyBorder="1" applyAlignment="1">
      <alignment horizontal="left"/>
    </xf>
    <xf numFmtId="0" fontId="57" fillId="0" borderId="1" xfId="0" applyFont="1" applyBorder="1"/>
    <xf numFmtId="9" fontId="57" fillId="0" borderId="0" xfId="29" applyFont="1"/>
    <xf numFmtId="0" fontId="57" fillId="9" borderId="0" xfId="0" applyFont="1" applyFill="1" applyAlignment="1">
      <alignment horizontal="left"/>
    </xf>
    <xf numFmtId="0" fontId="57" fillId="0" borderId="0" xfId="0" applyFont="1" applyFill="1" applyBorder="1"/>
    <xf numFmtId="0" fontId="57" fillId="0" borderId="1" xfId="0" applyFont="1" applyFill="1" applyBorder="1"/>
    <xf numFmtId="0" fontId="58" fillId="0" borderId="1" xfId="0" applyFont="1" applyFill="1" applyBorder="1" applyAlignment="1">
      <alignment vertical="top" wrapText="1"/>
    </xf>
    <xf numFmtId="0" fontId="50" fillId="0" borderId="1" xfId="0" applyFont="1" applyFill="1" applyBorder="1"/>
    <xf numFmtId="0" fontId="50" fillId="0" borderId="1" xfId="0" applyFont="1" applyBorder="1"/>
    <xf numFmtId="0" fontId="59" fillId="0" borderId="1" xfId="0" applyFont="1" applyFill="1" applyBorder="1" applyAlignment="1">
      <alignment vertical="top" wrapText="1"/>
    </xf>
    <xf numFmtId="0" fontId="56" fillId="0" borderId="0" xfId="12" applyFont="1" applyFill="1" applyAlignment="1">
      <alignment horizontal="left" wrapText="1"/>
    </xf>
    <xf numFmtId="168" fontId="56" fillId="0" borderId="0" xfId="0" applyNumberFormat="1" applyFont="1" applyFill="1" applyAlignment="1">
      <alignment horizontal="right" vertical="top"/>
    </xf>
    <xf numFmtId="0" fontId="56" fillId="0" borderId="0" xfId="12" applyFont="1" applyFill="1"/>
    <xf numFmtId="0" fontId="56" fillId="0" borderId="0" xfId="12" applyFont="1" applyFill="1" applyAlignment="1">
      <alignment horizontal="left"/>
    </xf>
    <xf numFmtId="0" fontId="56" fillId="0" borderId="0" xfId="12" applyFont="1" applyFill="1" applyAlignment="1">
      <alignment wrapText="1"/>
    </xf>
    <xf numFmtId="0" fontId="56" fillId="0" borderId="0" xfId="12" applyFont="1" applyFill="1" applyAlignment="1"/>
    <xf numFmtId="3" fontId="56" fillId="0" borderId="0" xfId="12" applyNumberFormat="1" applyFont="1" applyFill="1" applyAlignment="1">
      <alignment horizontal="center"/>
    </xf>
    <xf numFmtId="0" fontId="56" fillId="0" borderId="0" xfId="12" applyFont="1" applyFill="1" applyAlignment="1">
      <alignment horizontal="center"/>
    </xf>
    <xf numFmtId="1" fontId="56" fillId="0" borderId="0" xfId="12" applyNumberFormat="1" applyFont="1" applyFill="1" applyAlignment="1">
      <alignment horizontal="center"/>
    </xf>
    <xf numFmtId="0" fontId="23" fillId="0" borderId="0" xfId="12" applyFont="1" applyFill="1" applyAlignment="1"/>
    <xf numFmtId="0" fontId="19" fillId="11" borderId="38" xfId="16" applyFont="1" applyFill="1" applyBorder="1" applyAlignment="1">
      <alignment horizontal="center"/>
    </xf>
    <xf numFmtId="173" fontId="5" fillId="0" borderId="0" xfId="16" applyNumberFormat="1" applyFont="1"/>
    <xf numFmtId="164" fontId="5" fillId="0" borderId="0" xfId="16" applyNumberFormat="1" applyFont="1"/>
    <xf numFmtId="43" fontId="5" fillId="0" borderId="51" xfId="13" applyNumberFormat="1" applyFont="1" applyBorder="1"/>
    <xf numFmtId="170" fontId="5" fillId="14" borderId="52" xfId="28" applyNumberFormat="1" applyFont="1" applyFill="1" applyBorder="1"/>
    <xf numFmtId="43" fontId="5" fillId="14" borderId="49" xfId="13" applyNumberFormat="1" applyFont="1" applyFill="1" applyBorder="1"/>
    <xf numFmtId="43" fontId="5" fillId="14" borderId="52" xfId="13" applyNumberFormat="1" applyFont="1" applyFill="1" applyBorder="1"/>
    <xf numFmtId="0" fontId="5" fillId="0" borderId="82" xfId="16" applyFont="1" applyBorder="1" applyAlignment="1">
      <alignment wrapText="1"/>
    </xf>
    <xf numFmtId="169" fontId="26" fillId="0" borderId="0" xfId="30" applyNumberFormat="1" applyFont="1" applyFill="1"/>
    <xf numFmtId="2" fontId="26" fillId="0" borderId="0" xfId="12" applyNumberFormat="1" applyFont="1" applyFill="1"/>
    <xf numFmtId="169" fontId="5" fillId="4" borderId="50" xfId="13" applyNumberFormat="1" applyFont="1" applyFill="1" applyBorder="1"/>
    <xf numFmtId="174" fontId="5" fillId="9" borderId="48" xfId="13" applyNumberFormat="1" applyFont="1" applyFill="1" applyBorder="1"/>
    <xf numFmtId="174" fontId="5" fillId="0" borderId="48" xfId="13" applyNumberFormat="1" applyFont="1" applyFill="1" applyBorder="1"/>
    <xf numFmtId="174" fontId="5" fillId="0" borderId="81" xfId="13" applyNumberFormat="1" applyFont="1" applyFill="1" applyBorder="1"/>
    <xf numFmtId="43" fontId="5" fillId="0" borderId="3" xfId="13" applyNumberFormat="1" applyFont="1" applyFill="1" applyBorder="1"/>
    <xf numFmtId="43" fontId="5" fillId="0" borderId="81" xfId="13" applyNumberFormat="1" applyFont="1" applyFill="1" applyBorder="1"/>
    <xf numFmtId="0" fontId="26" fillId="0" borderId="35" xfId="12" applyFont="1" applyFill="1" applyBorder="1" applyAlignment="1">
      <alignment horizontal="center"/>
    </xf>
    <xf numFmtId="0" fontId="26" fillId="0" borderId="34" xfId="12" applyFont="1" applyFill="1" applyBorder="1" applyAlignment="1">
      <alignment horizontal="center"/>
    </xf>
    <xf numFmtId="0" fontId="23" fillId="0" borderId="0" xfId="12" applyFont="1" applyFill="1" applyAlignment="1">
      <alignment horizontal="left" wrapText="1"/>
    </xf>
    <xf numFmtId="0" fontId="56" fillId="0" borderId="0" xfId="12" applyFont="1" applyFill="1" applyAlignment="1">
      <alignment horizontal="left" wrapText="1"/>
    </xf>
    <xf numFmtId="0" fontId="23" fillId="0" borderId="0" xfId="12" applyFont="1" applyFill="1" applyAlignment="1">
      <alignment horizontal="left" wrapText="1"/>
    </xf>
    <xf numFmtId="0" fontId="26" fillId="0" borderId="35" xfId="12" applyFont="1" applyFill="1" applyBorder="1" applyAlignment="1">
      <alignment horizontal="center"/>
    </xf>
    <xf numFmtId="0" fontId="26" fillId="0" borderId="34" xfId="12" applyFont="1" applyFill="1" applyBorder="1" applyAlignment="1">
      <alignment horizontal="center"/>
    </xf>
    <xf numFmtId="0" fontId="56" fillId="0" borderId="0" xfId="12" applyFont="1" applyFill="1" applyAlignment="1">
      <alignment horizontal="left" wrapText="1"/>
    </xf>
    <xf numFmtId="169" fontId="5" fillId="0" borderId="9" xfId="13" applyNumberFormat="1" applyFont="1" applyFill="1" applyBorder="1"/>
    <xf numFmtId="169" fontId="5" fillId="0" borderId="10" xfId="13" applyNumberFormat="1" applyFont="1" applyFill="1" applyBorder="1"/>
    <xf numFmtId="43" fontId="5" fillId="0" borderId="11" xfId="13" applyNumberFormat="1" applyFont="1" applyFill="1" applyBorder="1"/>
    <xf numFmtId="169" fontId="5" fillId="0" borderId="13" xfId="13" applyNumberFormat="1" applyFont="1" applyFill="1" applyBorder="1"/>
    <xf numFmtId="0" fontId="0" fillId="9" borderId="21" xfId="0" applyFill="1" applyBorder="1"/>
    <xf numFmtId="0" fontId="50" fillId="0" borderId="1" xfId="0" applyFont="1" applyFill="1" applyBorder="1" applyAlignment="1">
      <alignment wrapText="1"/>
    </xf>
    <xf numFmtId="0" fontId="60" fillId="0" borderId="1" xfId="0" applyFont="1" applyBorder="1" applyAlignment="1">
      <alignment vertical="center" wrapText="1"/>
    </xf>
    <xf numFmtId="6" fontId="60" fillId="0" borderId="1" xfId="0" applyNumberFormat="1" applyFont="1" applyBorder="1" applyAlignment="1">
      <alignment vertical="center" wrapText="1"/>
    </xf>
    <xf numFmtId="166" fontId="26" fillId="10" borderId="24" xfId="12" applyNumberFormat="1" applyFont="1" applyFill="1" applyBorder="1" applyAlignment="1">
      <alignment horizontal="center"/>
    </xf>
    <xf numFmtId="3" fontId="26" fillId="10" borderId="39" xfId="12" applyNumberFormat="1" applyFont="1" applyFill="1" applyBorder="1" applyAlignment="1">
      <alignment horizontal="center"/>
    </xf>
    <xf numFmtId="3" fontId="26" fillId="10" borderId="1" xfId="12" applyNumberFormat="1" applyFont="1" applyFill="1" applyBorder="1" applyAlignment="1">
      <alignment horizontal="center" wrapText="1"/>
    </xf>
    <xf numFmtId="167" fontId="26" fillId="10" borderId="24" xfId="12" applyNumberFormat="1" applyFont="1" applyFill="1" applyBorder="1" applyAlignment="1">
      <alignment horizontal="center"/>
    </xf>
    <xf numFmtId="0" fontId="56" fillId="10" borderId="0" xfId="12" applyFont="1" applyFill="1" applyAlignment="1">
      <alignment horizontal="left"/>
    </xf>
    <xf numFmtId="1" fontId="26" fillId="10" borderId="39" xfId="12" applyNumberFormat="1" applyFont="1" applyFill="1" applyBorder="1" applyAlignment="1">
      <alignment horizontal="center"/>
    </xf>
    <xf numFmtId="166" fontId="26" fillId="10" borderId="35" xfId="12" applyNumberFormat="1" applyFont="1" applyFill="1" applyBorder="1" applyAlignment="1">
      <alignment horizontal="center"/>
    </xf>
    <xf numFmtId="0" fontId="26" fillId="10" borderId="0" xfId="12" applyFont="1" applyFill="1"/>
    <xf numFmtId="0" fontId="26" fillId="10" borderId="30" xfId="12" applyFont="1" applyFill="1" applyBorder="1" applyAlignment="1">
      <alignment wrapText="1"/>
    </xf>
    <xf numFmtId="0" fontId="26" fillId="10" borderId="24" xfId="12" applyFont="1" applyFill="1" applyBorder="1" applyAlignment="1">
      <alignment horizontal="center"/>
    </xf>
    <xf numFmtId="1" fontId="26" fillId="10" borderId="24" xfId="12" applyNumberFormat="1" applyFont="1" applyFill="1" applyBorder="1" applyAlignment="1">
      <alignment horizontal="center"/>
    </xf>
    <xf numFmtId="3" fontId="26" fillId="10" borderId="24" xfId="13" applyNumberFormat="1" applyFont="1" applyFill="1" applyBorder="1" applyAlignment="1">
      <alignment horizontal="center"/>
    </xf>
    <xf numFmtId="3" fontId="26" fillId="10" borderId="24" xfId="12" applyNumberFormat="1" applyFont="1" applyFill="1" applyBorder="1" applyAlignment="1">
      <alignment horizontal="center"/>
    </xf>
    <xf numFmtId="0" fontId="26" fillId="10" borderId="28" xfId="12" applyFont="1" applyFill="1" applyBorder="1" applyAlignment="1">
      <alignment horizontal="center"/>
    </xf>
    <xf numFmtId="167" fontId="26" fillId="10" borderId="0" xfId="12" applyNumberFormat="1" applyFont="1" applyFill="1"/>
    <xf numFmtId="0" fontId="56" fillId="10" borderId="0" xfId="12" applyFont="1" applyFill="1"/>
    <xf numFmtId="0" fontId="26" fillId="10" borderId="30" xfId="12" applyFont="1" applyFill="1" applyBorder="1" applyAlignment="1">
      <alignment horizontal="left" wrapText="1" indent="2"/>
    </xf>
    <xf numFmtId="0" fontId="26" fillId="10" borderId="30" xfId="12" applyFont="1" applyFill="1" applyBorder="1" applyAlignment="1">
      <alignment horizontal="left" indent="2"/>
    </xf>
    <xf numFmtId="0" fontId="26" fillId="10" borderId="39" xfId="12" applyFont="1" applyFill="1" applyBorder="1" applyAlignment="1">
      <alignment horizontal="center"/>
    </xf>
    <xf numFmtId="0" fontId="61" fillId="0" borderId="30" xfId="12" applyFont="1" applyFill="1" applyBorder="1" applyAlignment="1">
      <alignment horizontal="left" wrapText="1" indent="2"/>
    </xf>
    <xf numFmtId="0" fontId="26" fillId="22" borderId="24" xfId="12" applyFont="1" applyFill="1" applyBorder="1" applyAlignment="1">
      <alignment horizontal="center"/>
    </xf>
    <xf numFmtId="166" fontId="26" fillId="22" borderId="24" xfId="12" applyNumberFormat="1" applyFont="1" applyFill="1" applyBorder="1" applyAlignment="1">
      <alignment horizontal="center"/>
    </xf>
    <xf numFmtId="3" fontId="26" fillId="22" borderId="24" xfId="13" applyNumberFormat="1" applyFont="1" applyFill="1" applyBorder="1" applyAlignment="1">
      <alignment horizontal="center"/>
    </xf>
    <xf numFmtId="3" fontId="26" fillId="22" borderId="24" xfId="12" applyNumberFormat="1" applyFont="1" applyFill="1" applyBorder="1" applyAlignment="1">
      <alignment horizontal="center"/>
    </xf>
    <xf numFmtId="3" fontId="26" fillId="22" borderId="39" xfId="12" applyNumberFormat="1" applyFont="1" applyFill="1" applyBorder="1" applyAlignment="1">
      <alignment horizontal="center"/>
    </xf>
    <xf numFmtId="0" fontId="26" fillId="22" borderId="28" xfId="12" applyFont="1" applyFill="1" applyBorder="1" applyAlignment="1">
      <alignment horizontal="center"/>
    </xf>
    <xf numFmtId="0" fontId="26" fillId="10" borderId="1" xfId="12" applyFont="1" applyFill="1" applyBorder="1" applyAlignment="1">
      <alignment horizontal="center" wrapText="1"/>
    </xf>
    <xf numFmtId="167" fontId="26" fillId="0" borderId="24" xfId="12" applyNumberFormat="1" applyFont="1" applyFill="1" applyBorder="1" applyAlignment="1">
      <alignment horizontal="center"/>
    </xf>
    <xf numFmtId="0" fontId="26" fillId="22" borderId="0" xfId="12" applyFont="1" applyFill="1"/>
    <xf numFmtId="0" fontId="26" fillId="22" borderId="30" xfId="12" applyFont="1" applyFill="1" applyBorder="1" applyAlignment="1">
      <alignment horizontal="left" wrapText="1" indent="2"/>
    </xf>
    <xf numFmtId="174" fontId="5" fillId="0" borderId="52" xfId="13" applyNumberFormat="1" applyFont="1" applyBorder="1"/>
    <xf numFmtId="174" fontId="5" fillId="0" borderId="49" xfId="13" applyNumberFormat="1" applyFont="1" applyBorder="1"/>
    <xf numFmtId="2" fontId="0" fillId="0" borderId="0" xfId="29" applyNumberFormat="1" applyFont="1"/>
    <xf numFmtId="0" fontId="63" fillId="0" borderId="84" xfId="0" applyFont="1" applyBorder="1" applyAlignment="1">
      <alignment horizontal="center" vertical="center" wrapText="1"/>
    </xf>
    <xf numFmtId="0" fontId="63" fillId="0" borderId="85" xfId="0" applyFont="1" applyBorder="1" applyAlignment="1">
      <alignment horizontal="center" vertical="center" wrapText="1"/>
    </xf>
    <xf numFmtId="0" fontId="0" fillId="0" borderId="86" xfId="0" applyBorder="1" applyAlignment="1">
      <alignment vertical="center" wrapText="1"/>
    </xf>
    <xf numFmtId="0" fontId="63" fillId="0" borderId="88" xfId="0" applyFont="1" applyBorder="1" applyAlignment="1">
      <alignment horizontal="center" vertical="center" wrapText="1"/>
    </xf>
    <xf numFmtId="0" fontId="63" fillId="0" borderId="89" xfId="0" applyFont="1" applyBorder="1" applyAlignment="1">
      <alignment horizontal="center" vertical="center" wrapText="1"/>
    </xf>
    <xf numFmtId="0" fontId="0" fillId="0" borderId="90" xfId="0" applyBorder="1" applyAlignment="1">
      <alignment vertical="center" wrapText="1"/>
    </xf>
    <xf numFmtId="0" fontId="63" fillId="0" borderId="91" xfId="0" applyFont="1" applyBorder="1" applyAlignment="1">
      <alignment horizontal="center" vertical="center" wrapText="1"/>
    </xf>
    <xf numFmtId="0" fontId="63" fillId="0" borderId="92" xfId="0" applyFont="1" applyBorder="1" applyAlignment="1">
      <alignment horizontal="center" vertical="center" wrapText="1"/>
    </xf>
    <xf numFmtId="0" fontId="63" fillId="0" borderId="93" xfId="0" applyFont="1" applyBorder="1" applyAlignment="1">
      <alignment horizontal="center" vertical="center" wrapText="1"/>
    </xf>
    <xf numFmtId="0" fontId="60" fillId="0" borderId="86" xfId="0" applyFont="1" applyBorder="1" applyAlignment="1">
      <alignment vertical="center" wrapText="1"/>
    </xf>
    <xf numFmtId="6" fontId="0" fillId="0" borderId="0" xfId="0" applyNumberFormat="1"/>
    <xf numFmtId="6" fontId="60" fillId="0" borderId="90" xfId="0" applyNumberFormat="1" applyFont="1" applyBorder="1" applyAlignment="1">
      <alignment horizontal="center" vertical="center" wrapText="1"/>
    </xf>
    <xf numFmtId="0" fontId="60" fillId="0" borderId="90" xfId="0" applyFont="1" applyBorder="1" applyAlignment="1">
      <alignment horizontal="center" vertical="center" wrapText="1"/>
    </xf>
    <xf numFmtId="6" fontId="60" fillId="0" borderId="93" xfId="0" applyNumberFormat="1" applyFont="1" applyBorder="1" applyAlignment="1">
      <alignment horizontal="center" vertical="center" wrapText="1"/>
    </xf>
    <xf numFmtId="6" fontId="60" fillId="0" borderId="89" xfId="0" applyNumberFormat="1" applyFont="1" applyBorder="1" applyAlignment="1">
      <alignment horizontal="center" vertical="center" wrapText="1"/>
    </xf>
    <xf numFmtId="6" fontId="60" fillId="0" borderId="92" xfId="0" applyNumberFormat="1" applyFont="1" applyBorder="1" applyAlignment="1">
      <alignment horizontal="center" vertical="center" wrapText="1"/>
    </xf>
    <xf numFmtId="0" fontId="60" fillId="0" borderId="94" xfId="0" applyFont="1" applyBorder="1" applyAlignment="1">
      <alignment vertical="center" wrapText="1"/>
    </xf>
    <xf numFmtId="6" fontId="60" fillId="0" borderId="95" xfId="0" applyNumberFormat="1" applyFont="1" applyBorder="1" applyAlignment="1">
      <alignment horizontal="center" vertical="center" wrapText="1"/>
    </xf>
    <xf numFmtId="0" fontId="60" fillId="0" borderId="96" xfId="0" applyFont="1" applyBorder="1" applyAlignment="1">
      <alignment vertical="center" wrapText="1"/>
    </xf>
    <xf numFmtId="6" fontId="60" fillId="0" borderId="97" xfId="0" applyNumberFormat="1" applyFont="1" applyBorder="1" applyAlignment="1">
      <alignment horizontal="center" vertical="center" wrapText="1"/>
    </xf>
    <xf numFmtId="0" fontId="60" fillId="0" borderId="97" xfId="0" applyFont="1" applyBorder="1" applyAlignment="1">
      <alignment horizontal="center" vertical="center" wrapText="1"/>
    </xf>
    <xf numFmtId="6" fontId="60" fillId="0" borderId="98" xfId="0" applyNumberFormat="1" applyFont="1" applyBorder="1" applyAlignment="1">
      <alignment horizontal="center" vertical="center" wrapText="1"/>
    </xf>
    <xf numFmtId="0" fontId="60" fillId="0" borderId="98" xfId="0" applyFont="1" applyBorder="1" applyAlignment="1">
      <alignment horizontal="center" vertical="center" wrapText="1"/>
    </xf>
    <xf numFmtId="0" fontId="60" fillId="0" borderId="83" xfId="0" applyFont="1" applyBorder="1" applyAlignment="1">
      <alignment vertical="center" wrapText="1"/>
    </xf>
    <xf numFmtId="6" fontId="60" fillId="0" borderId="87" xfId="0" applyNumberFormat="1" applyFont="1" applyBorder="1" applyAlignment="1">
      <alignment horizontal="center" vertical="center" wrapText="1"/>
    </xf>
    <xf numFmtId="1" fontId="60" fillId="0" borderId="90" xfId="0" applyNumberFormat="1" applyFont="1" applyBorder="1" applyAlignment="1">
      <alignment horizontal="center" vertical="center" wrapText="1"/>
    </xf>
    <xf numFmtId="6" fontId="60" fillId="0" borderId="99" xfId="0" applyNumberFormat="1" applyFont="1" applyBorder="1" applyAlignment="1">
      <alignment horizontal="center" vertical="center" wrapText="1"/>
    </xf>
    <xf numFmtId="1" fontId="60" fillId="0" borderId="89" xfId="0" applyNumberFormat="1" applyFont="1" applyBorder="1" applyAlignment="1">
      <alignment horizontal="center" vertical="center" wrapText="1"/>
    </xf>
    <xf numFmtId="3" fontId="60" fillId="0" borderId="97" xfId="0" applyNumberFormat="1" applyFont="1" applyBorder="1" applyAlignment="1">
      <alignment horizontal="center" vertical="center" wrapText="1"/>
    </xf>
    <xf numFmtId="175" fontId="26" fillId="0" borderId="0" xfId="12" applyNumberFormat="1" applyFont="1" applyFill="1"/>
    <xf numFmtId="174" fontId="5" fillId="0" borderId="0" xfId="30" applyNumberFormat="1" applyFont="1"/>
    <xf numFmtId="0" fontId="23" fillId="0" borderId="0" xfId="12" applyFont="1" applyFill="1" applyAlignment="1">
      <alignment horizontal="left" wrapText="1"/>
    </xf>
    <xf numFmtId="0" fontId="26" fillId="0" borderId="34" xfId="12" applyFont="1" applyFill="1" applyBorder="1" applyAlignment="1">
      <alignment horizontal="center"/>
    </xf>
    <xf numFmtId="0" fontId="56" fillId="0" borderId="0" xfId="12" applyFont="1" applyFill="1" applyAlignment="1">
      <alignment horizontal="left" wrapText="1"/>
    </xf>
    <xf numFmtId="0" fontId="26" fillId="0" borderId="39" xfId="12" applyFont="1" applyFill="1" applyBorder="1" applyAlignment="1">
      <alignment horizontal="center"/>
    </xf>
    <xf numFmtId="0" fontId="26" fillId="0" borderId="35" xfId="12" applyFont="1" applyFill="1" applyBorder="1" applyAlignment="1">
      <alignment horizontal="center"/>
    </xf>
    <xf numFmtId="1" fontId="26" fillId="0" borderId="39" xfId="12" applyNumberFormat="1" applyFont="1" applyFill="1" applyBorder="1" applyAlignment="1">
      <alignment horizontal="center"/>
    </xf>
    <xf numFmtId="166" fontId="26" fillId="0" borderId="35" xfId="12" applyNumberFormat="1" applyFont="1" applyFill="1" applyBorder="1" applyAlignment="1">
      <alignment horizontal="center"/>
    </xf>
    <xf numFmtId="168" fontId="56" fillId="0" borderId="0" xfId="0" applyNumberFormat="1" applyFont="1" applyFill="1" applyAlignment="1">
      <alignment horizontal="left" vertical="top"/>
    </xf>
    <xf numFmtId="0" fontId="4" fillId="0" borderId="1" xfId="0" applyFont="1" applyBorder="1" applyAlignment="1">
      <alignment horizontal="center" wrapText="1"/>
    </xf>
    <xf numFmtId="0" fontId="1" fillId="0" borderId="0" xfId="1" applyFill="1" applyBorder="1" applyAlignment="1">
      <alignment horizontal="center"/>
    </xf>
    <xf numFmtId="0" fontId="1" fillId="2" borderId="20" xfId="1" applyBorder="1" applyAlignment="1">
      <alignment horizontal="center" wrapText="1"/>
    </xf>
    <xf numFmtId="0" fontId="1" fillId="2" borderId="3" xfId="1" applyBorder="1" applyAlignment="1">
      <alignment horizontal="center" wrapText="1"/>
    </xf>
    <xf numFmtId="6" fontId="60" fillId="0" borderId="1" xfId="0" applyNumberFormat="1" applyFont="1" applyBorder="1" applyAlignment="1">
      <alignment horizontal="center" vertical="center" wrapText="1"/>
    </xf>
    <xf numFmtId="1" fontId="60" fillId="0" borderId="1" xfId="0" applyNumberFormat="1" applyFont="1" applyBorder="1" applyAlignment="1">
      <alignment horizontal="center" vertical="center" wrapText="1"/>
    </xf>
    <xf numFmtId="0" fontId="41" fillId="16" borderId="72" xfId="23" applyBorder="1" applyAlignment="1">
      <alignment horizontal="center" wrapText="1"/>
    </xf>
    <xf numFmtId="0" fontId="41" fillId="16" borderId="73" xfId="23" applyBorder="1" applyAlignment="1">
      <alignment horizontal="center" wrapText="1"/>
    </xf>
    <xf numFmtId="0" fontId="41" fillId="16" borderId="74" xfId="23" applyBorder="1" applyAlignment="1">
      <alignment horizontal="center" wrapText="1"/>
    </xf>
    <xf numFmtId="0" fontId="0" fillId="18" borderId="1" xfId="0" applyFill="1" applyBorder="1" applyAlignment="1">
      <alignment horizontal="center"/>
    </xf>
    <xf numFmtId="0" fontId="0" fillId="18" borderId="2" xfId="0" applyFill="1" applyBorder="1" applyAlignment="1">
      <alignment horizontal="center"/>
    </xf>
    <xf numFmtId="0" fontId="1" fillId="2" borderId="1" xfId="1" applyBorder="1" applyAlignment="1">
      <alignment horizontal="center"/>
    </xf>
    <xf numFmtId="0" fontId="41" fillId="16" borderId="1" xfId="23" applyBorder="1" applyAlignment="1">
      <alignment horizontal="center" wrapText="1"/>
    </xf>
    <xf numFmtId="0" fontId="19" fillId="11" borderId="37" xfId="16" applyFont="1" applyFill="1" applyBorder="1" applyAlignment="1">
      <alignment horizontal="center"/>
    </xf>
    <xf numFmtId="0" fontId="19" fillId="11" borderId="38" xfId="16" applyFont="1" applyFill="1" applyBorder="1" applyAlignment="1">
      <alignment horizontal="center"/>
    </xf>
    <xf numFmtId="0" fontId="19" fillId="11" borderId="14" xfId="16" applyFont="1" applyFill="1" applyBorder="1" applyAlignment="1">
      <alignment horizontal="center"/>
    </xf>
    <xf numFmtId="0" fontId="19" fillId="11" borderId="18" xfId="16" applyFont="1" applyFill="1" applyBorder="1" applyAlignment="1">
      <alignment horizontal="center" vertical="center"/>
    </xf>
    <xf numFmtId="0" fontId="19" fillId="11" borderId="15" xfId="16" applyFont="1" applyFill="1" applyBorder="1" applyAlignment="1">
      <alignment horizontal="center" vertical="center"/>
    </xf>
    <xf numFmtId="0" fontId="23" fillId="0" borderId="0" xfId="12" applyFont="1" applyFill="1" applyAlignment="1">
      <alignment horizontal="left" wrapText="1"/>
    </xf>
    <xf numFmtId="0" fontId="26" fillId="0" borderId="40" xfId="12" applyFont="1" applyFill="1" applyBorder="1" applyAlignment="1">
      <alignment horizontal="center"/>
    </xf>
    <xf numFmtId="0" fontId="26" fillId="0" borderId="34" xfId="12" applyFont="1" applyFill="1" applyBorder="1" applyAlignment="1">
      <alignment horizontal="center"/>
    </xf>
    <xf numFmtId="0" fontId="56" fillId="10" borderId="0" xfId="12" applyFont="1" applyFill="1" applyAlignment="1">
      <alignment horizontal="left" wrapText="1"/>
    </xf>
    <xf numFmtId="0" fontId="24" fillId="0" borderId="0" xfId="12" applyFont="1" applyFill="1" applyAlignment="1">
      <alignment horizontal="center"/>
    </xf>
    <xf numFmtId="0" fontId="56" fillId="0" borderId="0" xfId="12" applyFont="1" applyFill="1" applyAlignment="1">
      <alignment horizontal="left" wrapText="1"/>
    </xf>
    <xf numFmtId="0" fontId="24" fillId="0" borderId="3" xfId="12" applyFont="1" applyFill="1" applyBorder="1" applyAlignment="1">
      <alignment horizontal="center"/>
    </xf>
    <xf numFmtId="0" fontId="26" fillId="0" borderId="39" xfId="12" applyFont="1" applyFill="1" applyBorder="1" applyAlignment="1">
      <alignment horizontal="center"/>
    </xf>
    <xf numFmtId="0" fontId="26" fillId="0" borderId="35" xfId="12" applyFont="1" applyFill="1" applyBorder="1" applyAlignment="1">
      <alignment horizontal="center"/>
    </xf>
    <xf numFmtId="0" fontId="5" fillId="0" borderId="0" xfId="21" applyFont="1" applyFill="1" applyAlignment="1">
      <alignment horizontal="left" wrapText="1"/>
    </xf>
    <xf numFmtId="0" fontId="6" fillId="0" borderId="61" xfId="21" applyFont="1" applyFill="1" applyBorder="1" applyAlignment="1">
      <alignment horizontal="left" vertical="top" wrapText="1"/>
    </xf>
    <xf numFmtId="0" fontId="35" fillId="0" borderId="60" xfId="21" applyFill="1" applyBorder="1" applyAlignment="1">
      <alignment horizontal="left" vertical="top" wrapText="1"/>
    </xf>
    <xf numFmtId="0" fontId="35" fillId="0" borderId="59" xfId="21" applyFill="1" applyBorder="1" applyAlignment="1">
      <alignment horizontal="left" vertical="top" wrapText="1"/>
    </xf>
    <xf numFmtId="0" fontId="5" fillId="0" borderId="0" xfId="21" applyFont="1" applyFill="1" applyAlignment="1">
      <alignment wrapText="1"/>
    </xf>
    <xf numFmtId="0" fontId="19" fillId="0" borderId="0" xfId="21" applyFont="1" applyFill="1" applyAlignment="1">
      <alignment horizontal="center"/>
    </xf>
    <xf numFmtId="49" fontId="6" fillId="0" borderId="24" xfId="21" applyNumberFormat="1" applyFont="1" applyFill="1" applyBorder="1" applyAlignment="1">
      <alignment horizontal="left" vertical="top" wrapText="1"/>
    </xf>
  </cellXfs>
  <cellStyles count="31">
    <cellStyle name="40% - Accent4" xfId="24" builtinId="43"/>
    <cellStyle name="Bad" xfId="22" builtinId="27"/>
    <cellStyle name="Calculation" xfId="23" builtinId="22"/>
    <cellStyle name="Comma" xfId="30" builtinId="3"/>
    <cellStyle name="Comma 2" xfId="3"/>
    <cellStyle name="Comma 3" xfId="13"/>
    <cellStyle name="Currency" xfId="28" builtinId="4"/>
    <cellStyle name="Currency 2" xfId="14"/>
    <cellStyle name="Currency 3" xfId="15"/>
    <cellStyle name="Good" xfId="1" builtinId="26"/>
    <cellStyle name="Hyperlink" xfId="10" builtinId="8"/>
    <cellStyle name="Neutral" xfId="2" builtinId="28"/>
    <cellStyle name="Normal" xfId="0" builtinId="0"/>
    <cellStyle name="Normal 2" xfId="4"/>
    <cellStyle name="Normal 2 2" xfId="16"/>
    <cellStyle name="Normal 2 3" xfId="17"/>
    <cellStyle name="Normal 3" xfId="5"/>
    <cellStyle name="Normal 3 2" xfId="18"/>
    <cellStyle name="Normal 4" xfId="6"/>
    <cellStyle name="Normal 5" xfId="7"/>
    <cellStyle name="Normal 6" xfId="19"/>
    <cellStyle name="Normal 7" xfId="12"/>
    <cellStyle name="Normal 8" xfId="21"/>
    <cellStyle name="Normal 8 2" xfId="27"/>
    <cellStyle name="Normal_Controllers NSPS acreage" xfId="25"/>
    <cellStyle name="Normal_ERs" xfId="26"/>
    <cellStyle name="Normal_ICR Cost Inputs" xfId="11"/>
    <cellStyle name="Normal_NSPS Acreage" xfId="9"/>
    <cellStyle name="Normal_Sheet1" xfId="8"/>
    <cellStyle name="Percent" xfId="29" builtinId="5"/>
    <cellStyle name="Percent 2" xfId="2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OATS\SURVEY\COST\MRR\MRRBOAT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ATS\SURVEY\COST\MRR\MRRBOAT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014%20Landfills%20Common\Memos\Testing%20and%20Monitoring\Testing%20and%20Monitoring%20Cost%20Summary%20-%20NSPS%2004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NSPS"/>
      <sheetName val="Base Costs"/>
      <sheetName val="Pivot - Acreage"/>
      <sheetName val="Controllers NSPS acreage"/>
      <sheetName val="Options"/>
      <sheetName val="Figure breakpoint"/>
      <sheetName val="Sheet1"/>
    </sheetNames>
    <sheetDataSet>
      <sheetData sheetId="0"/>
      <sheetData sheetId="1">
        <row r="2">
          <cell r="D2">
            <v>1105.3024868650327</v>
          </cell>
        </row>
        <row r="5">
          <cell r="B5">
            <v>1</v>
          </cell>
        </row>
        <row r="6">
          <cell r="B6">
            <v>0.254</v>
          </cell>
        </row>
        <row r="7">
          <cell r="B7">
            <v>49.686000000000007</v>
          </cell>
        </row>
        <row r="8">
          <cell r="B8">
            <v>125</v>
          </cell>
        </row>
        <row r="9">
          <cell r="B9">
            <v>350</v>
          </cell>
        </row>
        <row r="10">
          <cell r="B10">
            <v>1100</v>
          </cell>
        </row>
        <row r="11">
          <cell r="B11">
            <v>50</v>
          </cell>
        </row>
        <row r="13">
          <cell r="B13">
            <v>204</v>
          </cell>
        </row>
        <row r="14">
          <cell r="B14">
            <v>210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opm.gov/policy-data-oversight/pay-leave/salaries-wages/salary-tables/pdf/2015/GS_h.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hyperlink" Target="http://www.bls.gov/oes/current/oes_nat.htm"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usenvironmental.com/air/fids/thermo-tva-1000b/" TargetMode="External"/><Relationship Id="rId7" Type="http://schemas.openxmlformats.org/officeDocument/2006/relationships/printerSettings" Target="../printerSettings/printerSettings2.bin"/><Relationship Id="rId2" Type="http://schemas.openxmlformats.org/officeDocument/2006/relationships/hyperlink" Target="http://usenvironmental.com/air/fids/thermo-tva-1000b/" TargetMode="External"/><Relationship Id="rId1" Type="http://schemas.openxmlformats.org/officeDocument/2006/relationships/hyperlink" Target="http://www.arb.ca.gov/regact/2009/landfills09/appf.pdf%20(2008$,%20did%20not%20escalate%20as%20factor%20is%20presumably%20part%20labor%20and%20part%20materials,%20the%20portion%20of%20each%20type%20is%20unknown%20and%20labor%20costs%20are%20relatively%20flat%20during%20this%20period)" TargetMode="External"/><Relationship Id="rId6" Type="http://schemas.openxmlformats.org/officeDocument/2006/relationships/hyperlink" Target="http://www.bls.gov/oes/current/oes_nat.htm" TargetMode="External"/><Relationship Id="rId5" Type="http://schemas.openxmlformats.org/officeDocument/2006/relationships/hyperlink" Target="http://www.arb.ca.gov/regact/2009/landfills09/appf.pdf%20plus%20updates%20to%202012%20labor%20rates%20using%20USBLS" TargetMode="External"/><Relationship Id="rId4" Type="http://schemas.openxmlformats.org/officeDocument/2006/relationships/hyperlink" Target="http://usenvironmental.com/air/fids/thermo-tva-1000b/" TargetMode="Externa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9" sqref="A9"/>
    </sheetView>
  </sheetViews>
  <sheetFormatPr defaultRowHeight="15" x14ac:dyDescent="0.25"/>
  <cols>
    <col min="1" max="1" width="70.5703125" customWidth="1"/>
    <col min="2" max="3" width="10.7109375" customWidth="1"/>
    <col min="4" max="4" width="10" customWidth="1"/>
    <col min="5" max="5" width="10.5703125" bestFit="1" customWidth="1"/>
  </cols>
  <sheetData>
    <row r="1" spans="1:14" ht="29.25" customHeight="1" x14ac:dyDescent="0.25">
      <c r="B1" s="471" t="s">
        <v>0</v>
      </c>
      <c r="C1" s="471"/>
      <c r="D1" s="471"/>
      <c r="E1" s="471"/>
      <c r="F1" s="471"/>
      <c r="G1" s="471"/>
      <c r="H1" s="471"/>
      <c r="I1" s="471"/>
      <c r="J1" s="471"/>
    </row>
    <row r="2" spans="1:14" ht="15.75" thickBot="1" x14ac:dyDescent="0.3">
      <c r="A2" s="97" t="s">
        <v>1</v>
      </c>
      <c r="B2" s="98">
        <v>2015</v>
      </c>
      <c r="C2" s="98">
        <v>2016</v>
      </c>
      <c r="D2" s="99">
        <v>2017</v>
      </c>
      <c r="E2" s="100">
        <v>2018</v>
      </c>
      <c r="F2" s="100">
        <v>2019</v>
      </c>
      <c r="G2" s="100">
        <v>2020</v>
      </c>
      <c r="H2" s="100">
        <v>2021</v>
      </c>
      <c r="I2" s="100">
        <v>2022</v>
      </c>
      <c r="J2" s="100">
        <v>2023</v>
      </c>
    </row>
    <row r="3" spans="1:14" ht="15.75" thickBot="1" x14ac:dyDescent="0.3">
      <c r="A3" s="1" t="s">
        <v>853</v>
      </c>
      <c r="B3" s="101">
        <v>0</v>
      </c>
      <c r="C3" s="5">
        <v>0</v>
      </c>
      <c r="D3" s="102">
        <v>0</v>
      </c>
      <c r="E3" s="103">
        <v>0</v>
      </c>
      <c r="F3" s="103">
        <v>0</v>
      </c>
      <c r="G3" s="104">
        <v>0</v>
      </c>
      <c r="H3" s="105">
        <v>6</v>
      </c>
      <c r="I3" s="105">
        <v>7</v>
      </c>
      <c r="J3" s="105">
        <v>8</v>
      </c>
    </row>
    <row r="4" spans="1:14" x14ac:dyDescent="0.25">
      <c r="A4" s="106" t="s">
        <v>854</v>
      </c>
      <c r="B4" s="107">
        <v>0</v>
      </c>
      <c r="C4" s="5">
        <v>0</v>
      </c>
      <c r="D4" s="108">
        <v>0</v>
      </c>
      <c r="E4" s="109">
        <v>0</v>
      </c>
      <c r="F4" s="109">
        <v>0</v>
      </c>
      <c r="G4" s="110">
        <v>3</v>
      </c>
      <c r="H4" s="110">
        <v>6</v>
      </c>
      <c r="I4" s="110">
        <v>7</v>
      </c>
      <c r="J4" s="110">
        <v>11</v>
      </c>
    </row>
    <row r="5" spans="1:14" x14ac:dyDescent="0.25">
      <c r="A5" s="35"/>
      <c r="B5" s="111"/>
      <c r="C5" s="112"/>
      <c r="D5" s="112"/>
      <c r="E5" s="112"/>
      <c r="F5" s="113"/>
      <c r="G5" s="113"/>
      <c r="H5" s="113"/>
      <c r="I5" s="113"/>
      <c r="J5" s="35"/>
    </row>
    <row r="6" spans="1:14" x14ac:dyDescent="0.25">
      <c r="A6" s="35"/>
      <c r="B6" s="111"/>
      <c r="C6" s="112"/>
      <c r="D6" s="112"/>
      <c r="E6" s="112"/>
      <c r="F6" s="113"/>
      <c r="G6" s="113"/>
      <c r="H6" s="113"/>
      <c r="I6" s="113"/>
      <c r="J6" s="35"/>
    </row>
    <row r="7" spans="1:14" s="6" customFormat="1" x14ac:dyDescent="0.25">
      <c r="A7" s="114" t="s">
        <v>14</v>
      </c>
      <c r="B7" s="34"/>
      <c r="C7" s="115"/>
    </row>
    <row r="8" spans="1:14" x14ac:dyDescent="0.25">
      <c r="A8" s="13"/>
      <c r="B8" s="14"/>
      <c r="C8" s="15"/>
      <c r="D8" s="4"/>
      <c r="E8" s="4"/>
      <c r="F8" s="4"/>
      <c r="G8" s="4"/>
      <c r="H8" s="4"/>
    </row>
    <row r="9" spans="1:14" x14ac:dyDescent="0.25">
      <c r="A9" s="13"/>
      <c r="B9" s="14"/>
      <c r="C9" s="15"/>
      <c r="D9" s="4"/>
      <c r="E9" s="4"/>
      <c r="F9" s="4"/>
      <c r="G9" s="4"/>
      <c r="H9" s="4"/>
    </row>
    <row r="10" spans="1:14" x14ac:dyDescent="0.25">
      <c r="A10" s="13"/>
      <c r="B10" s="14"/>
      <c r="C10" s="15"/>
      <c r="D10" s="4"/>
      <c r="E10" s="4"/>
      <c r="F10" s="4"/>
      <c r="G10" s="4"/>
      <c r="H10" s="4"/>
    </row>
    <row r="11" spans="1:14" ht="15.75" thickBot="1" x14ac:dyDescent="0.3">
      <c r="A11" s="16"/>
      <c r="B11" s="17"/>
      <c r="C11" s="18"/>
      <c r="D11" s="4"/>
      <c r="E11" s="4"/>
      <c r="F11" s="39"/>
      <c r="G11" s="39"/>
      <c r="H11" s="39"/>
      <c r="I11" s="40"/>
      <c r="J11" s="40"/>
      <c r="K11" s="40"/>
      <c r="L11" s="40"/>
      <c r="M11" s="40"/>
      <c r="N11" s="40"/>
    </row>
    <row r="12" spans="1:14" x14ac:dyDescent="0.25">
      <c r="F12" s="40"/>
      <c r="G12" s="40"/>
      <c r="H12" s="40"/>
      <c r="I12" s="40"/>
      <c r="J12" s="40"/>
      <c r="K12" s="40"/>
      <c r="L12" s="40"/>
      <c r="M12" s="40"/>
      <c r="N12" s="40"/>
    </row>
    <row r="13" spans="1:14" x14ac:dyDescent="0.25">
      <c r="A13" s="3" t="s">
        <v>50</v>
      </c>
      <c r="F13" s="40"/>
      <c r="G13" s="40"/>
      <c r="H13" s="40"/>
      <c r="I13" s="40"/>
      <c r="J13" s="40"/>
      <c r="K13" s="40"/>
      <c r="L13" s="40"/>
      <c r="M13" s="40"/>
      <c r="N13" s="40"/>
    </row>
    <row r="14" spans="1:14" ht="15" customHeight="1" x14ac:dyDescent="0.25">
      <c r="A14" s="12" t="s">
        <v>13</v>
      </c>
      <c r="D14" s="473" t="s">
        <v>7</v>
      </c>
      <c r="E14" s="474"/>
      <c r="F14" s="474"/>
      <c r="G14" s="474"/>
      <c r="H14" s="41"/>
      <c r="I14" s="472"/>
      <c r="J14" s="472"/>
      <c r="K14" s="472"/>
      <c r="L14" s="472"/>
      <c r="M14" s="472"/>
      <c r="N14" s="472"/>
    </row>
    <row r="15" spans="1:14" ht="120" x14ac:dyDescent="0.25">
      <c r="A15" s="7" t="s">
        <v>8</v>
      </c>
      <c r="B15" s="7" t="s">
        <v>2</v>
      </c>
      <c r="C15" s="8" t="s">
        <v>9</v>
      </c>
      <c r="D15" s="9" t="s">
        <v>10</v>
      </c>
      <c r="E15" s="46" t="s">
        <v>51</v>
      </c>
      <c r="F15" s="9" t="s">
        <v>11</v>
      </c>
      <c r="G15" s="37" t="s">
        <v>12</v>
      </c>
      <c r="H15" s="40"/>
      <c r="I15" s="42"/>
      <c r="J15" s="40"/>
      <c r="K15" s="40"/>
      <c r="L15" s="40"/>
      <c r="M15" s="40"/>
      <c r="N15" s="40"/>
    </row>
    <row r="16" spans="1:14" ht="105" x14ac:dyDescent="0.25">
      <c r="A16" s="10" t="s">
        <v>90</v>
      </c>
      <c r="B16" s="10" t="s">
        <v>91</v>
      </c>
      <c r="C16" s="11">
        <v>79</v>
      </c>
      <c r="D16" s="132">
        <v>20</v>
      </c>
      <c r="E16" s="131" t="s">
        <v>111</v>
      </c>
      <c r="F16" s="133">
        <f>D16*4</f>
        <v>80</v>
      </c>
      <c r="G16" s="131" t="s">
        <v>112</v>
      </c>
      <c r="H16" s="40"/>
      <c r="I16" s="43"/>
      <c r="J16" s="40"/>
      <c r="K16" s="40"/>
      <c r="L16" s="40"/>
      <c r="M16" s="40"/>
      <c r="N16" s="40"/>
    </row>
    <row r="17" spans="1:14" ht="30" x14ac:dyDescent="0.25">
      <c r="A17" s="10"/>
      <c r="B17" s="10" t="s">
        <v>92</v>
      </c>
      <c r="C17" s="11">
        <v>67</v>
      </c>
      <c r="D17" s="132">
        <v>17</v>
      </c>
      <c r="E17" s="131" t="s">
        <v>111</v>
      </c>
      <c r="F17" s="133">
        <f>D17*4</f>
        <v>68</v>
      </c>
      <c r="G17" s="131" t="s">
        <v>112</v>
      </c>
      <c r="H17" s="40"/>
      <c r="I17" s="43"/>
      <c r="J17" s="40"/>
      <c r="K17" s="40"/>
      <c r="L17" s="40"/>
      <c r="M17" s="40"/>
      <c r="N17" s="40"/>
    </row>
    <row r="18" spans="1:14" x14ac:dyDescent="0.25">
      <c r="A18" s="10"/>
      <c r="B18" s="10"/>
      <c r="C18" s="11"/>
      <c r="D18" s="44"/>
      <c r="F18" s="45"/>
      <c r="G18" s="38"/>
      <c r="H18" s="40"/>
      <c r="I18" s="43"/>
      <c r="J18" s="40"/>
      <c r="K18" s="40"/>
      <c r="L18" s="40"/>
      <c r="M18" s="40"/>
      <c r="N18" s="40"/>
    </row>
    <row r="19" spans="1:14" x14ac:dyDescent="0.25">
      <c r="A19" s="10"/>
      <c r="B19" s="10"/>
      <c r="C19" s="11"/>
      <c r="D19" s="44"/>
      <c r="F19" s="45"/>
      <c r="G19" s="38"/>
      <c r="H19" s="40"/>
      <c r="I19" s="43"/>
      <c r="J19" s="40"/>
      <c r="K19" s="40"/>
      <c r="L19" s="40"/>
      <c r="M19" s="40"/>
      <c r="N19" s="40"/>
    </row>
    <row r="20" spans="1:14" x14ac:dyDescent="0.25">
      <c r="A20" s="10"/>
      <c r="B20" s="10"/>
      <c r="C20" s="11"/>
      <c r="D20" s="44"/>
      <c r="F20" s="45"/>
      <c r="G20" s="38"/>
      <c r="H20" s="40"/>
      <c r="I20" s="43"/>
      <c r="J20" s="40"/>
      <c r="K20" s="40"/>
      <c r="L20" s="40"/>
      <c r="M20" s="40"/>
      <c r="N20" s="40"/>
    </row>
  </sheetData>
  <mergeCells count="3">
    <mergeCell ref="B1:J1"/>
    <mergeCell ref="I14:N14"/>
    <mergeCell ref="D14:G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Normal="100" workbookViewId="0">
      <pane xSplit="9" ySplit="2" topLeftCell="J3" activePane="bottomRight" state="frozen"/>
      <selection activeCell="A4" sqref="A4:XFD4"/>
      <selection pane="topRight" activeCell="A4" sqref="A4:XFD4"/>
      <selection pane="bottomLeft" activeCell="A4" sqref="A4:XFD4"/>
      <selection pane="bottomRight" activeCell="D18" sqref="D18"/>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0" x14ac:dyDescent="0.2">
      <c r="B1" s="493" t="s">
        <v>1238</v>
      </c>
      <c r="C1" s="493"/>
      <c r="D1" s="493"/>
      <c r="E1" s="493"/>
      <c r="F1" s="493"/>
      <c r="G1" s="493"/>
      <c r="H1" s="493"/>
      <c r="I1" s="493"/>
      <c r="J1" s="493"/>
      <c r="K1" s="493"/>
      <c r="L1" s="493"/>
      <c r="M1" s="493"/>
      <c r="N1" s="493"/>
      <c r="O1" s="493"/>
      <c r="P1" s="493"/>
      <c r="Q1" s="493"/>
      <c r="R1" s="493"/>
    </row>
    <row r="2" spans="2:20" x14ac:dyDescent="0.2">
      <c r="B2" s="495" t="s">
        <v>1188</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Respondants'!E3</f>
        <v>95</v>
      </c>
      <c r="J7" s="82">
        <v>0</v>
      </c>
      <c r="K7" s="82">
        <f>H7*I7</f>
        <v>3800</v>
      </c>
      <c r="L7" s="82">
        <f>K7*0.1</f>
        <v>380</v>
      </c>
      <c r="M7" s="83">
        <f>K7*0.05</f>
        <v>190</v>
      </c>
      <c r="N7" s="74">
        <f>(J7*'Labor Data'!$K$10)+(K7*'Labor Data'!$K$9)+(L7*'Labor Data'!$K$11)+(M7*'Labor Data'!$K$8)</f>
        <v>360835.65</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c r="T8" s="88"/>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Respondants'!E12</f>
        <v>76</v>
      </c>
      <c r="J9" s="82">
        <v>0</v>
      </c>
      <c r="K9" s="82">
        <f>H9*I9</f>
        <v>912</v>
      </c>
      <c r="L9" s="82">
        <f>K9*0.1</f>
        <v>91.2</v>
      </c>
      <c r="M9" s="82">
        <f>K9*0.05</f>
        <v>45.6</v>
      </c>
      <c r="N9" s="74">
        <f>(J9*'Labor Data'!$K$10)+(K9*'Labor Data'!$K$9)+(L9*'Labor Data'!$K$11)+(M9*'Labor Data'!$K$8)</f>
        <v>86600.556000000011</v>
      </c>
      <c r="O9" s="426">
        <f>(D9+E9)*F9*I9</f>
        <v>226758.12081995443</v>
      </c>
      <c r="P9" s="82">
        <f>F9*I9</f>
        <v>76</v>
      </c>
      <c r="Q9" s="136">
        <f>'Other Cost Basis'!B2+'Other Cost Basis'!B17+'Other Cost Basis'!B18+'Other Cost Basis'!B19</f>
        <v>18067</v>
      </c>
      <c r="R9" s="80" t="s">
        <v>106</v>
      </c>
      <c r="T9" s="88"/>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Respondants'!E6</f>
        <v>76</v>
      </c>
      <c r="J10" s="82">
        <f>G10*I10</f>
        <v>11057.477073060425</v>
      </c>
      <c r="K10" s="82">
        <v>0</v>
      </c>
      <c r="L10" s="82">
        <v>0</v>
      </c>
      <c r="M10" s="82">
        <v>0</v>
      </c>
      <c r="N10" s="74">
        <f>(J10*'Labor Data'!$K$10)+(K10*'Labor Data'!$K$9)+(L10*'Labor Data'!$K$11)+(M10*'Labor Data'!$K$8)</f>
        <v>551259.46200035443</v>
      </c>
      <c r="O10" s="74">
        <f>D10*F10*I10</f>
        <v>137864</v>
      </c>
      <c r="P10" s="82">
        <v>0</v>
      </c>
      <c r="Q10" s="136"/>
      <c r="R10" s="80" t="s">
        <v>1210</v>
      </c>
      <c r="T10" s="88"/>
    </row>
    <row r="11" spans="2:20" s="73" customFormat="1" ht="9" x14ac:dyDescent="0.15">
      <c r="B11" s="130" t="s">
        <v>1253</v>
      </c>
      <c r="C11" s="468">
        <f>ROUND(2000/49.85,0)</f>
        <v>40</v>
      </c>
      <c r="D11" s="469">
        <f>'Other Cost Basis'!F15</f>
        <v>17</v>
      </c>
      <c r="E11" s="469"/>
      <c r="F11" s="81">
        <v>12</v>
      </c>
      <c r="G11" s="119">
        <f>C11*F11</f>
        <v>480</v>
      </c>
      <c r="H11" s="81">
        <v>0</v>
      </c>
      <c r="I11" s="83">
        <f>I10</f>
        <v>76</v>
      </c>
      <c r="J11" s="82">
        <f>G11*I11</f>
        <v>36480</v>
      </c>
      <c r="K11" s="82">
        <v>0</v>
      </c>
      <c r="L11" s="82">
        <v>0</v>
      </c>
      <c r="M11" s="82">
        <v>0</v>
      </c>
      <c r="N11" s="74">
        <f>(J11*'Labor Data'!$K$10)+(K11*'Labor Data'!$K$9)+(L11*'Labor Data'!$K$11)+(M11*'Labor Data'!$K$8)</f>
        <v>1818673.92</v>
      </c>
      <c r="O11" s="74">
        <f>D11*F11*I11</f>
        <v>15504</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c r="T12" s="88"/>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Respondants'!E4</f>
        <v>1</v>
      </c>
      <c r="J15" s="82">
        <v>0</v>
      </c>
      <c r="K15" s="82">
        <f t="shared" ref="K15:K22" si="1">H15*I15</f>
        <v>2</v>
      </c>
      <c r="L15" s="82">
        <f t="shared" ref="L15:L22" si="2">K15*0.1</f>
        <v>0.2</v>
      </c>
      <c r="M15" s="82">
        <f t="shared" ref="M15:M22" si="3">K15*0.05</f>
        <v>0.1</v>
      </c>
      <c r="N15" s="74">
        <f>(J15*'Labor Data'!$K$10)+(K15*'Labor Data'!$K$9)+(L15*'Labor Data'!$K$11)+(M15*'Labor Data'!$K$8)</f>
        <v>189.9135</v>
      </c>
      <c r="O15" s="74">
        <f t="shared" ref="O15:O22" si="4">D15*F15*I15</f>
        <v>0</v>
      </c>
      <c r="P15" s="82">
        <f t="shared" ref="P15:P22" si="5">F15*I15</f>
        <v>1</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Respondants'!E8</f>
        <v>9</v>
      </c>
      <c r="J17" s="82">
        <v>0</v>
      </c>
      <c r="K17" s="82">
        <f t="shared" si="1"/>
        <v>72</v>
      </c>
      <c r="L17" s="82">
        <f t="shared" si="2"/>
        <v>7.2</v>
      </c>
      <c r="M17" s="82">
        <f t="shared" si="3"/>
        <v>3.6</v>
      </c>
      <c r="N17" s="74">
        <f>(J17*'Labor Data'!$K$10)+(K17*'Labor Data'!$K$9)+(L17*'Labor Data'!$K$11)+(M17*'Labor Data'!$K$8)</f>
        <v>6836.8860000000004</v>
      </c>
      <c r="O17" s="74">
        <f t="shared" si="4"/>
        <v>0</v>
      </c>
      <c r="P17" s="82">
        <f t="shared" si="5"/>
        <v>9</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3">
        <f>'Annual # of Respondants'!E9</f>
        <v>9</v>
      </c>
      <c r="J18" s="82">
        <v>0</v>
      </c>
      <c r="K18" s="82">
        <f t="shared" si="1"/>
        <v>108</v>
      </c>
      <c r="L18" s="82">
        <f t="shared" si="2"/>
        <v>10.8</v>
      </c>
      <c r="M18" s="82">
        <f t="shared" si="3"/>
        <v>5.4</v>
      </c>
      <c r="N18" s="74">
        <f>(J18*'Labor Data'!$K$10)+(K18*'Labor Data'!$K$9)+(L18*'Labor Data'!$K$11)+(M18*'Labor Data'!$K$8)</f>
        <v>10255.329000000002</v>
      </c>
      <c r="O18" s="74">
        <f t="shared" si="4"/>
        <v>22097.228588471808</v>
      </c>
      <c r="P18" s="82">
        <f t="shared" si="5"/>
        <v>9</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I$10</f>
        <v>76</v>
      </c>
      <c r="J21" s="82">
        <v>0</v>
      </c>
      <c r="K21" s="82">
        <f t="shared" si="1"/>
        <v>6080</v>
      </c>
      <c r="L21" s="82">
        <f t="shared" si="2"/>
        <v>608</v>
      </c>
      <c r="M21" s="82">
        <f t="shared" si="3"/>
        <v>304</v>
      </c>
      <c r="N21" s="74">
        <f>(J21*'Labor Data'!$K$10)+(K21*'Labor Data'!$K$9)+(L21*'Labor Data'!$K$11)+(M21*'Labor Data'!$K$8)</f>
        <v>577337.04</v>
      </c>
      <c r="O21" s="74">
        <f t="shared" si="4"/>
        <v>0</v>
      </c>
      <c r="P21" s="82">
        <f t="shared" si="5"/>
        <v>76</v>
      </c>
      <c r="Q21" s="136"/>
      <c r="R21" s="80" t="s">
        <v>99</v>
      </c>
      <c r="S21" s="87"/>
    </row>
    <row r="22" spans="2:19" s="73" customFormat="1" ht="9" x14ac:dyDescent="0.15">
      <c r="B22" s="127" t="s">
        <v>1169</v>
      </c>
      <c r="C22" s="466">
        <v>20</v>
      </c>
      <c r="D22" s="74">
        <v>0</v>
      </c>
      <c r="E22" s="74"/>
      <c r="F22" s="81">
        <v>1</v>
      </c>
      <c r="G22" s="81">
        <v>0</v>
      </c>
      <c r="H22" s="81">
        <f t="shared" si="0"/>
        <v>20</v>
      </c>
      <c r="I22" s="83">
        <f>I21*0.1</f>
        <v>7.6000000000000005</v>
      </c>
      <c r="J22" s="82">
        <v>0</v>
      </c>
      <c r="K22" s="82">
        <f t="shared" si="1"/>
        <v>152</v>
      </c>
      <c r="L22" s="82">
        <f t="shared" si="2"/>
        <v>15.200000000000001</v>
      </c>
      <c r="M22" s="82">
        <f t="shared" si="3"/>
        <v>7.6000000000000005</v>
      </c>
      <c r="N22" s="74">
        <f>(J22*'Labor Data'!$K$10)+(K22*'Labor Data'!$K$9)+(L22*'Labor Data'!$K$11)+(M22*'Labor Data'!$K$8)</f>
        <v>14433.426000000003</v>
      </c>
      <c r="O22" s="74">
        <f t="shared" si="4"/>
        <v>0</v>
      </c>
      <c r="P22" s="82">
        <f t="shared" si="5"/>
        <v>7.6000000000000005</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I$10</f>
        <v>76</v>
      </c>
      <c r="J25" s="82">
        <v>0</v>
      </c>
      <c r="K25" s="82">
        <f>H25*I25</f>
        <v>2052</v>
      </c>
      <c r="L25" s="82">
        <f>K25*0.1</f>
        <v>205.20000000000002</v>
      </c>
      <c r="M25" s="82">
        <f>K25*0.05</f>
        <v>102.60000000000001</v>
      </c>
      <c r="N25" s="74">
        <f>(J25*'Labor Data'!$K$10)+(K25*'Labor Data'!$K$9)+(L25*'Labor Data'!$K$11)+(M25*'Labor Data'!$K$8)</f>
        <v>194851.25100000002</v>
      </c>
      <c r="O25" s="74">
        <f>D25*F25*I25</f>
        <v>0</v>
      </c>
      <c r="P25" s="82">
        <f>F25*I25</f>
        <v>76</v>
      </c>
      <c r="Q25" s="136"/>
      <c r="R25" s="80" t="s">
        <v>1160</v>
      </c>
      <c r="S25" s="87"/>
    </row>
    <row r="26" spans="2:19" s="73" customFormat="1" ht="9" x14ac:dyDescent="0.15">
      <c r="B26" s="86" t="s">
        <v>74</v>
      </c>
      <c r="C26" s="81"/>
      <c r="D26" s="74"/>
      <c r="E26" s="74"/>
      <c r="F26" s="81"/>
      <c r="G26" s="81"/>
      <c r="H26" s="81"/>
      <c r="I26" s="83"/>
      <c r="J26" s="82">
        <f t="shared" ref="J26:O26" si="6">SUM(J7:J25)</f>
        <v>47537.477073060421</v>
      </c>
      <c r="K26" s="82">
        <f t="shared" si="6"/>
        <v>13178</v>
      </c>
      <c r="L26" s="82">
        <f t="shared" si="6"/>
        <v>1317.8000000000002</v>
      </c>
      <c r="M26" s="82">
        <f t="shared" si="6"/>
        <v>658.90000000000009</v>
      </c>
      <c r="N26" s="74">
        <f t="shared" si="6"/>
        <v>3621273.4335003542</v>
      </c>
      <c r="O26" s="74">
        <f t="shared" si="6"/>
        <v>402223.34940842626</v>
      </c>
      <c r="P26" s="82">
        <f>SUM(P15:P25)+P9</f>
        <v>254.6</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76</v>
      </c>
      <c r="J33" s="82">
        <v>0</v>
      </c>
      <c r="K33" s="82">
        <f>H33*I33</f>
        <v>4560</v>
      </c>
      <c r="L33" s="82">
        <f>K33*0.1</f>
        <v>456</v>
      </c>
      <c r="M33" s="82">
        <f>K33*0.05</f>
        <v>228</v>
      </c>
      <c r="N33" s="74">
        <f>(J33*'Labor Data'!$K$10)+(K33*'Labor Data'!$K$9)+(L33*'Labor Data'!$K$11)+(M33*'Labor Data'!$K$8)</f>
        <v>433002.78</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76</v>
      </c>
      <c r="J34" s="82">
        <v>0</v>
      </c>
      <c r="K34" s="82">
        <f>H34*I34</f>
        <v>10032</v>
      </c>
      <c r="L34" s="82">
        <f>K34*0.1</f>
        <v>1003.2</v>
      </c>
      <c r="M34" s="82">
        <f>K34*0.05</f>
        <v>501.6</v>
      </c>
      <c r="N34" s="74">
        <f>(J34*'Labor Data'!$K$10)+(K34*'Labor Data'!$K$9)+(L34*'Labor Data'!$K$11)+(M34*'Labor Data'!$K$8)</f>
        <v>952606.11600000015</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Respondants'!E5-I34</f>
        <v>19</v>
      </c>
      <c r="J35" s="82">
        <v>0</v>
      </c>
      <c r="K35" s="82">
        <f>H35*I35</f>
        <v>76</v>
      </c>
      <c r="L35" s="82">
        <f>K35*0.1</f>
        <v>7.6000000000000005</v>
      </c>
      <c r="M35" s="82">
        <f>K35*0.05</f>
        <v>3.8000000000000003</v>
      </c>
      <c r="N35" s="74">
        <f>(J35*'Labor Data'!$K$10)+(K35*'Labor Data'!$K$9)+(L35*'Labor Data'!$K$11)+(M35*'Labor Data'!$K$8)</f>
        <v>7216.7130000000016</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14668</v>
      </c>
      <c r="L38" s="76">
        <f t="shared" si="7"/>
        <v>1466.8</v>
      </c>
      <c r="M38" s="76">
        <f t="shared" si="7"/>
        <v>733.4</v>
      </c>
      <c r="N38" s="77">
        <f t="shared" si="7"/>
        <v>1392825.6090000002</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47537.477073060421</v>
      </c>
      <c r="K39" s="67">
        <f t="shared" si="8"/>
        <v>27846</v>
      </c>
      <c r="L39" s="67">
        <f t="shared" si="8"/>
        <v>2784.6000000000004</v>
      </c>
      <c r="M39" s="67">
        <f t="shared" si="8"/>
        <v>1392.3000000000002</v>
      </c>
      <c r="N39" s="68">
        <f t="shared" si="8"/>
        <v>5014099.0425003543</v>
      </c>
      <c r="O39" s="68">
        <f>O26+O38</f>
        <v>402223.34940842626</v>
      </c>
      <c r="P39" s="67">
        <f t="shared" si="8"/>
        <v>254.6</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359" customFormat="1" ht="9" customHeight="1" x14ac:dyDescent="0.15">
      <c r="A42" s="358" t="s">
        <v>75</v>
      </c>
      <c r="B42" s="359" t="s">
        <v>1257</v>
      </c>
    </row>
    <row r="43" spans="1:19" s="359" customFormat="1" ht="19.5" customHeight="1" x14ac:dyDescent="0.15">
      <c r="A43" s="358" t="s">
        <v>97</v>
      </c>
      <c r="B43" s="494" t="s">
        <v>1232</v>
      </c>
      <c r="C43" s="494"/>
      <c r="D43" s="494"/>
      <c r="E43" s="494"/>
      <c r="F43" s="494"/>
      <c r="G43" s="494"/>
      <c r="H43" s="494"/>
      <c r="I43" s="494"/>
      <c r="J43" s="494"/>
      <c r="K43" s="494"/>
      <c r="L43" s="494"/>
      <c r="M43" s="494"/>
      <c r="N43" s="494"/>
      <c r="O43" s="494"/>
      <c r="P43" s="494"/>
      <c r="Q43" s="494"/>
      <c r="R43" s="494"/>
    </row>
    <row r="44" spans="1:19" s="359" customFormat="1" ht="9" customHeight="1" x14ac:dyDescent="0.15">
      <c r="A44" s="358" t="s">
        <v>65</v>
      </c>
      <c r="B44" s="360" t="s">
        <v>842</v>
      </c>
    </row>
    <row r="45" spans="1:19" s="359" customFormat="1" ht="9" x14ac:dyDescent="0.15">
      <c r="A45" s="358" t="s">
        <v>98</v>
      </c>
      <c r="B45" s="360" t="s">
        <v>1227</v>
      </c>
      <c r="C45" s="465"/>
      <c r="D45" s="465"/>
      <c r="E45" s="465"/>
      <c r="F45" s="465"/>
      <c r="G45" s="465"/>
      <c r="H45" s="465"/>
      <c r="I45" s="465"/>
      <c r="J45" s="465"/>
      <c r="K45" s="465"/>
      <c r="L45" s="465"/>
      <c r="M45" s="465"/>
      <c r="N45" s="465"/>
      <c r="O45" s="465"/>
      <c r="P45" s="465"/>
      <c r="Q45" s="465"/>
      <c r="R45" s="465"/>
    </row>
    <row r="46" spans="1:19" s="359" customFormat="1" ht="27" customHeight="1" x14ac:dyDescent="0.15">
      <c r="A46" s="358" t="s">
        <v>67</v>
      </c>
      <c r="B46" s="494" t="s">
        <v>1265</v>
      </c>
      <c r="C46" s="494"/>
      <c r="D46" s="494"/>
      <c r="E46" s="494"/>
      <c r="F46" s="494"/>
      <c r="G46" s="494"/>
      <c r="H46" s="494"/>
      <c r="I46" s="494"/>
      <c r="J46" s="494"/>
      <c r="K46" s="494"/>
      <c r="L46" s="494"/>
      <c r="M46" s="494"/>
      <c r="N46" s="494"/>
      <c r="O46" s="494"/>
      <c r="P46" s="494"/>
      <c r="Q46" s="494"/>
      <c r="R46" s="494"/>
      <c r="S46" s="494"/>
    </row>
    <row r="47" spans="1:19" s="359" customFormat="1" ht="9" x14ac:dyDescent="0.15">
      <c r="A47" s="358" t="s">
        <v>99</v>
      </c>
      <c r="B47" s="359" t="s">
        <v>1202</v>
      </c>
    </row>
    <row r="48" spans="1:19" s="359" customFormat="1" ht="48" customHeight="1" x14ac:dyDescent="0.15">
      <c r="A48" s="358" t="s">
        <v>100</v>
      </c>
      <c r="B48" s="494" t="s">
        <v>1276</v>
      </c>
      <c r="C48" s="494"/>
      <c r="D48" s="494"/>
      <c r="E48" s="494"/>
      <c r="F48" s="494"/>
      <c r="G48" s="494"/>
      <c r="H48" s="494"/>
      <c r="I48" s="494"/>
      <c r="J48" s="494"/>
      <c r="K48" s="494"/>
      <c r="L48" s="494"/>
      <c r="M48" s="494"/>
      <c r="N48" s="494"/>
      <c r="O48" s="494"/>
      <c r="P48" s="494"/>
      <c r="Q48" s="494"/>
      <c r="R48" s="494"/>
      <c r="S48" s="494"/>
    </row>
    <row r="49" spans="1:18" s="359" customFormat="1" ht="18" customHeight="1" x14ac:dyDescent="0.15">
      <c r="A49" s="358" t="s">
        <v>101</v>
      </c>
      <c r="B49" s="494" t="s">
        <v>1221</v>
      </c>
      <c r="C49" s="494"/>
      <c r="D49" s="494"/>
      <c r="E49" s="494"/>
      <c r="F49" s="494"/>
      <c r="G49" s="494"/>
      <c r="H49" s="494"/>
      <c r="I49" s="494"/>
      <c r="J49" s="494"/>
      <c r="K49" s="494"/>
      <c r="L49" s="494"/>
      <c r="M49" s="494"/>
      <c r="N49" s="494"/>
      <c r="O49" s="494"/>
      <c r="P49" s="494"/>
      <c r="Q49" s="494"/>
      <c r="R49" s="494"/>
    </row>
    <row r="50" spans="1:18" s="359" customFormat="1" ht="9" customHeight="1" x14ac:dyDescent="0.15">
      <c r="A50" s="358" t="s">
        <v>102</v>
      </c>
      <c r="B50" s="362" t="s">
        <v>1224</v>
      </c>
      <c r="C50" s="361"/>
      <c r="D50" s="361"/>
      <c r="E50" s="361"/>
      <c r="F50" s="361"/>
      <c r="G50" s="361"/>
      <c r="H50" s="361"/>
      <c r="I50" s="361"/>
      <c r="J50" s="361"/>
      <c r="K50" s="361"/>
      <c r="L50" s="361"/>
      <c r="M50" s="361"/>
      <c r="P50" s="363"/>
      <c r="Q50" s="363"/>
      <c r="R50" s="364"/>
    </row>
    <row r="51" spans="1:18" s="359" customFormat="1" ht="9" customHeight="1" x14ac:dyDescent="0.15">
      <c r="A51" s="358" t="s">
        <v>103</v>
      </c>
      <c r="B51" s="359" t="s">
        <v>1191</v>
      </c>
      <c r="C51" s="364"/>
      <c r="D51" s="364"/>
      <c r="E51" s="364"/>
      <c r="F51" s="364"/>
      <c r="G51" s="364"/>
      <c r="H51" s="364"/>
      <c r="I51" s="365"/>
      <c r="J51" s="364"/>
      <c r="K51" s="364"/>
      <c r="L51" s="364"/>
      <c r="M51" s="364"/>
      <c r="P51" s="363"/>
      <c r="Q51" s="363"/>
      <c r="R51" s="364"/>
    </row>
    <row r="52" spans="1:18" s="359" customFormat="1" ht="9" x14ac:dyDescent="0.15">
      <c r="A52" s="358" t="s">
        <v>63</v>
      </c>
      <c r="B52" s="360" t="s">
        <v>1266</v>
      </c>
      <c r="C52" s="364"/>
      <c r="D52" s="364"/>
      <c r="E52" s="364"/>
      <c r="F52" s="364"/>
      <c r="G52" s="364"/>
      <c r="H52" s="364"/>
      <c r="I52" s="365"/>
      <c r="J52" s="364"/>
      <c r="K52" s="364"/>
      <c r="L52" s="364"/>
      <c r="M52" s="364"/>
      <c r="P52" s="363"/>
      <c r="Q52" s="363"/>
      <c r="R52" s="364"/>
    </row>
    <row r="53" spans="1:18" s="359" customFormat="1" ht="9" customHeight="1" x14ac:dyDescent="0.15">
      <c r="A53" s="358" t="s">
        <v>104</v>
      </c>
      <c r="B53" s="360" t="s">
        <v>108</v>
      </c>
      <c r="C53" s="364"/>
      <c r="D53" s="364"/>
      <c r="E53" s="364"/>
      <c r="F53" s="364"/>
      <c r="G53" s="364"/>
      <c r="H53" s="364"/>
      <c r="I53" s="365"/>
      <c r="J53" s="364"/>
      <c r="K53" s="364"/>
      <c r="L53" s="364"/>
      <c r="M53" s="364"/>
      <c r="P53" s="363"/>
      <c r="Q53" s="363"/>
      <c r="R53" s="364"/>
    </row>
    <row r="54" spans="1:18" s="359" customFormat="1" ht="9" x14ac:dyDescent="0.15">
      <c r="A54" s="358" t="s">
        <v>105</v>
      </c>
      <c r="B54" s="359" t="s">
        <v>841</v>
      </c>
      <c r="P54" s="363"/>
      <c r="Q54" s="363"/>
      <c r="R54" s="364"/>
    </row>
    <row r="55" spans="1:18" s="359" customFormat="1" ht="9" x14ac:dyDescent="0.15">
      <c r="A55" s="358" t="s">
        <v>107</v>
      </c>
      <c r="B55" s="359" t="s">
        <v>1158</v>
      </c>
      <c r="P55" s="363"/>
      <c r="Q55" s="363"/>
      <c r="R55" s="364"/>
    </row>
    <row r="56" spans="1:18" s="359" customFormat="1" ht="18.75" customHeight="1" x14ac:dyDescent="0.15">
      <c r="A56" s="121" t="s">
        <v>1160</v>
      </c>
      <c r="B56" s="494" t="s">
        <v>1268</v>
      </c>
      <c r="C56" s="494"/>
      <c r="D56" s="494"/>
      <c r="E56" s="494"/>
      <c r="F56" s="494"/>
      <c r="G56" s="494"/>
      <c r="H56" s="494"/>
      <c r="I56" s="494"/>
      <c r="J56" s="494"/>
      <c r="K56" s="494"/>
      <c r="L56" s="494"/>
      <c r="M56" s="494"/>
      <c r="N56" s="494"/>
      <c r="O56" s="494"/>
      <c r="P56" s="494"/>
      <c r="Q56" s="494"/>
      <c r="R56" s="494"/>
    </row>
    <row r="57" spans="1:18" s="359" customFormat="1" ht="18.75" customHeight="1" x14ac:dyDescent="0.15">
      <c r="A57" s="121" t="s">
        <v>1159</v>
      </c>
      <c r="B57" s="494" t="s">
        <v>1269</v>
      </c>
      <c r="C57" s="494"/>
      <c r="D57" s="494"/>
      <c r="E57" s="494"/>
      <c r="F57" s="494"/>
      <c r="G57" s="494"/>
      <c r="H57" s="494"/>
      <c r="I57" s="494"/>
      <c r="J57" s="494"/>
      <c r="K57" s="494"/>
      <c r="L57" s="494"/>
      <c r="M57" s="494"/>
      <c r="N57" s="494"/>
      <c r="O57" s="494"/>
      <c r="P57" s="494"/>
      <c r="Q57" s="494"/>
      <c r="R57" s="494"/>
    </row>
    <row r="58" spans="1:18" s="62" customFormat="1" ht="9" x14ac:dyDescent="0.15">
      <c r="A58" s="62" t="s">
        <v>1262</v>
      </c>
      <c r="B58" s="116" t="s">
        <v>1300</v>
      </c>
      <c r="C58" s="463"/>
      <c r="D58" s="463"/>
      <c r="E58" s="463"/>
      <c r="F58" s="463"/>
      <c r="G58" s="463"/>
      <c r="H58" s="463"/>
      <c r="I58" s="463"/>
      <c r="J58" s="463"/>
      <c r="K58" s="463"/>
      <c r="L58" s="463"/>
      <c r="M58" s="463"/>
      <c r="N58" s="463"/>
      <c r="O58" s="463"/>
      <c r="P58" s="463"/>
      <c r="Q58" s="463"/>
      <c r="R58" s="463"/>
    </row>
    <row r="59" spans="1:18" s="62" customFormat="1" ht="9" x14ac:dyDescent="0.15">
      <c r="B59" s="463"/>
      <c r="C59" s="463"/>
      <c r="D59" s="463"/>
      <c r="E59" s="463"/>
      <c r="F59" s="463"/>
      <c r="G59" s="463"/>
      <c r="H59" s="463"/>
      <c r="I59" s="463"/>
      <c r="J59" s="463"/>
      <c r="K59" s="463"/>
      <c r="L59" s="463"/>
      <c r="M59" s="463"/>
      <c r="N59" s="463"/>
      <c r="O59" s="463"/>
      <c r="P59" s="463"/>
      <c r="Q59" s="463"/>
      <c r="R59" s="463"/>
    </row>
    <row r="60" spans="1:18" s="62" customFormat="1" ht="9" x14ac:dyDescent="0.15">
      <c r="B60" s="463"/>
      <c r="C60" s="463"/>
      <c r="D60" s="463"/>
      <c r="E60" s="463"/>
      <c r="F60" s="463"/>
      <c r="G60" s="463"/>
      <c r="H60" s="463"/>
      <c r="I60" s="463"/>
      <c r="J60" s="463"/>
      <c r="K60" s="463"/>
      <c r="L60" s="463"/>
      <c r="M60" s="463"/>
      <c r="N60" s="463"/>
      <c r="O60" s="463"/>
      <c r="P60" s="463"/>
      <c r="Q60" s="463"/>
    </row>
    <row r="61" spans="1:18" s="62" customFormat="1" ht="9" x14ac:dyDescent="0.15">
      <c r="B61" s="489"/>
      <c r="C61" s="489"/>
      <c r="D61" s="489"/>
      <c r="E61" s="489"/>
      <c r="F61" s="489"/>
      <c r="G61" s="489"/>
      <c r="H61" s="489"/>
      <c r="I61" s="489"/>
      <c r="J61" s="489"/>
      <c r="K61" s="489"/>
      <c r="L61" s="489"/>
      <c r="M61" s="489"/>
      <c r="N61" s="489"/>
      <c r="O61" s="489"/>
      <c r="P61" s="489"/>
      <c r="Q61" s="489"/>
      <c r="R61" s="489"/>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ht="9" x14ac:dyDescent="0.15">
      <c r="C76" s="63"/>
      <c r="D76" s="63"/>
      <c r="E76" s="63"/>
      <c r="F76" s="63"/>
      <c r="G76" s="63"/>
      <c r="H76" s="63"/>
      <c r="I76" s="64"/>
      <c r="J76" s="63"/>
      <c r="K76" s="63"/>
      <c r="L76" s="63"/>
      <c r="M76" s="63"/>
      <c r="N76" s="63"/>
      <c r="O76" s="61"/>
      <c r="P76" s="61"/>
      <c r="Q76" s="61"/>
      <c r="R76" s="63"/>
    </row>
    <row r="77" spans="3:18" s="62" customFormat="1" ht="9" x14ac:dyDescent="0.15">
      <c r="C77" s="63"/>
      <c r="D77" s="63"/>
      <c r="E77" s="63"/>
      <c r="F77" s="63"/>
      <c r="G77" s="63"/>
      <c r="H77" s="63"/>
      <c r="I77" s="64"/>
      <c r="J77" s="63"/>
      <c r="K77" s="63"/>
      <c r="L77" s="63"/>
      <c r="M77" s="63"/>
      <c r="N77" s="63"/>
      <c r="O77" s="61"/>
      <c r="P77" s="61"/>
      <c r="Q77" s="61"/>
      <c r="R77" s="63"/>
    </row>
    <row r="78" spans="3:18" s="62" customFormat="1" x14ac:dyDescent="0.2">
      <c r="C78" s="63"/>
      <c r="D78" s="63"/>
      <c r="E78" s="63"/>
      <c r="F78" s="63"/>
      <c r="G78" s="63"/>
      <c r="H78" s="63"/>
      <c r="I78" s="64"/>
      <c r="J78" s="63"/>
      <c r="K78" s="63"/>
      <c r="L78" s="63"/>
      <c r="M78" s="63"/>
      <c r="N78" s="63"/>
      <c r="O78" s="61"/>
      <c r="P78" s="61"/>
      <c r="Q78" s="61"/>
      <c r="R78" s="58"/>
    </row>
    <row r="79" spans="3:18" s="62" customFormat="1" x14ac:dyDescent="0.2">
      <c r="C79" s="63"/>
      <c r="D79" s="63"/>
      <c r="E79" s="63"/>
      <c r="F79" s="63"/>
      <c r="G79" s="58"/>
      <c r="H79" s="63"/>
      <c r="I79" s="64"/>
      <c r="J79" s="58"/>
      <c r="K79" s="63"/>
      <c r="L79" s="63"/>
      <c r="M79" s="63"/>
      <c r="N79" s="63"/>
      <c r="O79" s="61"/>
      <c r="P79" s="61"/>
      <c r="Q79" s="61"/>
      <c r="R79" s="58"/>
    </row>
    <row r="80" spans="3:18" x14ac:dyDescent="0.2">
      <c r="P80" s="61"/>
      <c r="Q80" s="61"/>
    </row>
    <row r="81" spans="16:17" x14ac:dyDescent="0.2">
      <c r="P81" s="61"/>
      <c r="Q81" s="61"/>
    </row>
  </sheetData>
  <mergeCells count="21">
    <mergeCell ref="B61:R61"/>
    <mergeCell ref="C29:D29"/>
    <mergeCell ref="C30:D30"/>
    <mergeCell ref="C31:D31"/>
    <mergeCell ref="C36:D36"/>
    <mergeCell ref="C37:D37"/>
    <mergeCell ref="B43:R43"/>
    <mergeCell ref="B49:R49"/>
    <mergeCell ref="B48:S48"/>
    <mergeCell ref="B46:S46"/>
    <mergeCell ref="B57:R57"/>
    <mergeCell ref="B56:R56"/>
    <mergeCell ref="C28:D28"/>
    <mergeCell ref="B1:R1"/>
    <mergeCell ref="B2:R2"/>
    <mergeCell ref="C4:D4"/>
    <mergeCell ref="C5:D5"/>
    <mergeCell ref="C12:D12"/>
    <mergeCell ref="C13:D13"/>
    <mergeCell ref="C23:D23"/>
    <mergeCell ref="C24:D24"/>
  </mergeCells>
  <pageMargins left="0.25" right="0.25" top="0.5" bottom="0.5" header="0.5" footer="0.5"/>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0"/>
  <sheetViews>
    <sheetView zoomScale="115" zoomScaleNormal="115" workbookViewId="0">
      <pane xSplit="9" ySplit="2" topLeftCell="L3" activePane="bottomRight" state="frozen"/>
      <selection activeCell="E15" sqref="E15"/>
      <selection pane="topRight" activeCell="E15" sqref="E15"/>
      <selection pane="bottomLeft" activeCell="E15" sqref="E15"/>
      <selection pane="bottomRight" activeCell="E15" sqref="E15"/>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9.570312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3" x14ac:dyDescent="0.2">
      <c r="B1" s="493" t="s">
        <v>851</v>
      </c>
      <c r="C1" s="493"/>
      <c r="D1" s="493"/>
      <c r="E1" s="493"/>
      <c r="F1" s="493"/>
      <c r="G1" s="493"/>
      <c r="H1" s="493"/>
      <c r="I1" s="493"/>
      <c r="J1" s="493"/>
      <c r="K1" s="493"/>
      <c r="L1" s="493"/>
      <c r="M1" s="493"/>
      <c r="N1" s="493"/>
      <c r="O1" s="493"/>
      <c r="P1" s="493"/>
      <c r="Q1" s="493"/>
      <c r="R1" s="493"/>
    </row>
    <row r="2" spans="2:23" x14ac:dyDescent="0.2">
      <c r="B2" s="495" t="s">
        <v>1178</v>
      </c>
      <c r="C2" s="495"/>
      <c r="D2" s="495"/>
      <c r="E2" s="495"/>
      <c r="F2" s="495"/>
      <c r="G2" s="495"/>
      <c r="H2" s="495"/>
      <c r="I2" s="495"/>
      <c r="J2" s="495"/>
      <c r="K2" s="495"/>
      <c r="L2" s="495"/>
      <c r="M2" s="495"/>
      <c r="N2" s="495"/>
      <c r="O2" s="495"/>
      <c r="P2" s="495"/>
      <c r="Q2" s="495"/>
      <c r="R2" s="495"/>
    </row>
    <row r="3" spans="2:23" s="94" customFormat="1" ht="66.75" customHeight="1" x14ac:dyDescent="0.15">
      <c r="B3" s="96" t="s">
        <v>88</v>
      </c>
      <c r="C3" s="96" t="s">
        <v>843</v>
      </c>
      <c r="D3" s="96" t="s">
        <v>1250</v>
      </c>
      <c r="E3" s="425" t="s">
        <v>1251</v>
      </c>
      <c r="F3" s="96" t="s">
        <v>836</v>
      </c>
      <c r="G3" s="96" t="s">
        <v>839</v>
      </c>
      <c r="H3" s="96" t="s">
        <v>837</v>
      </c>
      <c r="I3" s="124" t="s">
        <v>840</v>
      </c>
      <c r="J3" s="125" t="s">
        <v>1173</v>
      </c>
      <c r="K3" s="125" t="s">
        <v>1174</v>
      </c>
      <c r="L3" s="125" t="s">
        <v>1175</v>
      </c>
      <c r="M3" s="125" t="s">
        <v>1176</v>
      </c>
      <c r="N3" s="96" t="s">
        <v>838</v>
      </c>
      <c r="O3" s="401" t="s">
        <v>1252</v>
      </c>
      <c r="P3" s="125" t="s">
        <v>844</v>
      </c>
      <c r="Q3" s="125" t="s">
        <v>852</v>
      </c>
      <c r="R3" s="95" t="s">
        <v>87</v>
      </c>
      <c r="S3" s="94" t="s">
        <v>86</v>
      </c>
    </row>
    <row r="4" spans="2:23" s="73" customFormat="1" ht="9" x14ac:dyDescent="0.15">
      <c r="B4" s="93" t="s">
        <v>85</v>
      </c>
      <c r="C4" s="490" t="s">
        <v>61</v>
      </c>
      <c r="D4" s="491"/>
      <c r="E4" s="389"/>
      <c r="F4" s="91"/>
      <c r="G4" s="91"/>
      <c r="H4" s="91"/>
      <c r="I4" s="92"/>
      <c r="J4" s="92"/>
      <c r="K4" s="92"/>
      <c r="L4" s="92"/>
      <c r="M4" s="92"/>
      <c r="N4" s="90"/>
      <c r="O4" s="90"/>
      <c r="P4" s="90"/>
      <c r="Q4" s="134"/>
      <c r="R4" s="89"/>
    </row>
    <row r="5" spans="2:23" s="73" customFormat="1" ht="9" x14ac:dyDescent="0.15">
      <c r="B5" s="84" t="s">
        <v>84</v>
      </c>
      <c r="C5" s="496" t="s">
        <v>61</v>
      </c>
      <c r="D5" s="497"/>
      <c r="E5" s="388"/>
      <c r="F5" s="81"/>
      <c r="G5" s="81"/>
      <c r="H5" s="81"/>
      <c r="I5" s="82"/>
      <c r="J5" s="82"/>
      <c r="K5" s="82"/>
      <c r="L5" s="82"/>
      <c r="M5" s="82"/>
      <c r="N5" s="74"/>
      <c r="O5" s="74"/>
      <c r="P5" s="74"/>
      <c r="Q5" s="135"/>
      <c r="R5" s="80"/>
    </row>
    <row r="6" spans="2:23" s="73" customFormat="1" ht="9" x14ac:dyDescent="0.15">
      <c r="B6" s="84" t="s">
        <v>83</v>
      </c>
      <c r="C6" s="81"/>
      <c r="D6" s="74"/>
      <c r="E6" s="74"/>
      <c r="F6" s="81"/>
      <c r="G6" s="81"/>
      <c r="H6" s="81"/>
      <c r="I6" s="82"/>
      <c r="J6" s="82"/>
      <c r="K6" s="82"/>
      <c r="L6" s="82"/>
      <c r="M6" s="82"/>
      <c r="N6" s="74"/>
      <c r="O6" s="74"/>
      <c r="P6" s="74"/>
      <c r="Q6" s="135"/>
      <c r="R6" s="80"/>
    </row>
    <row r="7" spans="2:23" s="73" customFormat="1" ht="9" x14ac:dyDescent="0.15">
      <c r="B7" s="130" t="s">
        <v>82</v>
      </c>
      <c r="C7" s="81">
        <v>40</v>
      </c>
      <c r="D7" s="74">
        <v>0</v>
      </c>
      <c r="E7" s="74"/>
      <c r="F7" s="81">
        <v>1</v>
      </c>
      <c r="G7" s="81">
        <v>0</v>
      </c>
      <c r="H7" s="81">
        <f>C7*F7</f>
        <v>40</v>
      </c>
      <c r="I7" s="83">
        <f>'Annual # of Respondants'!F3</f>
        <v>9</v>
      </c>
      <c r="J7" s="82">
        <v>0</v>
      </c>
      <c r="K7" s="82">
        <f>H7*I7</f>
        <v>360</v>
      </c>
      <c r="L7" s="82">
        <f>K7*0.1</f>
        <v>36</v>
      </c>
      <c r="M7" s="83">
        <f>K7*0.05</f>
        <v>18</v>
      </c>
      <c r="N7" s="74">
        <f>(J7*'Labor Data'!$K$10)+(K7*'Labor Data'!$K$9)+(L7*'Labor Data'!$K$11)+(M7*'Labor Data'!$K$8)</f>
        <v>34184.430000000008</v>
      </c>
      <c r="O7" s="74">
        <f>D7*F7*I7</f>
        <v>0</v>
      </c>
      <c r="P7" s="82">
        <v>0</v>
      </c>
      <c r="Q7" s="136"/>
      <c r="R7" s="80" t="s">
        <v>98</v>
      </c>
    </row>
    <row r="8" spans="2:23" s="73" customFormat="1" ht="9" x14ac:dyDescent="0.15">
      <c r="B8" s="84" t="s">
        <v>81</v>
      </c>
      <c r="C8" s="81"/>
      <c r="D8" s="74"/>
      <c r="E8" s="74"/>
      <c r="F8" s="81"/>
      <c r="G8" s="81"/>
      <c r="H8" s="81"/>
      <c r="I8" s="82"/>
      <c r="J8" s="82"/>
      <c r="K8" s="82"/>
      <c r="L8" s="82"/>
      <c r="M8" s="82"/>
      <c r="N8" s="74"/>
      <c r="O8" s="74"/>
      <c r="P8" s="74"/>
      <c r="Q8" s="135"/>
      <c r="R8" s="80"/>
      <c r="T8" s="88"/>
    </row>
    <row r="9" spans="2:23" s="73" customFormat="1" ht="9" x14ac:dyDescent="0.15">
      <c r="B9" s="130" t="s">
        <v>80</v>
      </c>
      <c r="C9" s="81">
        <v>12</v>
      </c>
      <c r="D9" s="399">
        <f>'Other Cost Basis'!D2+'Other Cost Basis'!D17+'Other Cost Basis'!D18+'Other Cost Basis'!D19</f>
        <v>1983.6594844730848</v>
      </c>
      <c r="E9" s="399">
        <f>'Other Cost Basis'!D20</f>
        <v>1000</v>
      </c>
      <c r="F9" s="81">
        <v>1</v>
      </c>
      <c r="G9" s="81">
        <v>0</v>
      </c>
      <c r="H9" s="81">
        <f>C9*F9</f>
        <v>12</v>
      </c>
      <c r="I9" s="83">
        <f>'Annual # of Respondants'!F12</f>
        <v>3</v>
      </c>
      <c r="J9" s="82">
        <v>0</v>
      </c>
      <c r="K9" s="82">
        <f>H9*I9</f>
        <v>36</v>
      </c>
      <c r="L9" s="82">
        <f>K9*0.1</f>
        <v>3.6</v>
      </c>
      <c r="M9" s="82">
        <f>K9*0.05</f>
        <v>1.8</v>
      </c>
      <c r="N9" s="74">
        <f>(J9*'Labor Data'!$K$10)+(K9*'Labor Data'!$K$9)+(L9*'Labor Data'!$K$11)+(M9*'Labor Data'!$K$8)</f>
        <v>3418.4430000000002</v>
      </c>
      <c r="O9" s="402">
        <f>'Respondent Yr1'!O9+(D9+E9)*F9*I9</f>
        <v>310300.58638520079</v>
      </c>
      <c r="P9" s="82">
        <f>F9*I9</f>
        <v>3</v>
      </c>
      <c r="Q9" s="400">
        <f>'Other Cost Basis'!B2+'Other Cost Basis'!B17+'Other Cost Basis'!B18+'Other Cost Basis'!B19</f>
        <v>18067</v>
      </c>
      <c r="R9" s="80" t="s">
        <v>106</v>
      </c>
      <c r="T9" s="88"/>
    </row>
    <row r="10" spans="2:23"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Respondants'!F6</f>
        <v>104</v>
      </c>
      <c r="J10" s="82">
        <f>G10*I10</f>
        <v>15131.284415766897</v>
      </c>
      <c r="K10" s="82">
        <v>0</v>
      </c>
      <c r="L10" s="82">
        <v>0</v>
      </c>
      <c r="M10" s="82">
        <v>0</v>
      </c>
      <c r="N10" s="74">
        <f>(J10*'Labor Data'!$K$10)+(K10*'Labor Data'!$K$9)+(L10*'Labor Data'!$K$11)+(M10*'Labor Data'!$K$8)</f>
        <v>754355.05326364283</v>
      </c>
      <c r="O10" s="74">
        <f>D10*F10*I10</f>
        <v>188656</v>
      </c>
      <c r="P10" s="82">
        <v>0</v>
      </c>
      <c r="Q10" s="136"/>
      <c r="R10" s="80" t="s">
        <v>1210</v>
      </c>
      <c r="T10" s="88"/>
      <c r="V10" s="73">
        <v>183214</v>
      </c>
      <c r="W10" s="73">
        <v>212238</v>
      </c>
    </row>
    <row r="11" spans="2:23" s="406" customFormat="1" ht="9" x14ac:dyDescent="0.15">
      <c r="B11" s="407" t="s">
        <v>1253</v>
      </c>
      <c r="C11" s="404">
        <f>ROUND(2000/49.85,0)</f>
        <v>40</v>
      </c>
      <c r="D11" s="405">
        <f>'Other Cost Basis'!F15</f>
        <v>17</v>
      </c>
      <c r="E11" s="405"/>
      <c r="F11" s="408">
        <v>12</v>
      </c>
      <c r="G11" s="409">
        <f>C11*F11</f>
        <v>480</v>
      </c>
      <c r="H11" s="408">
        <v>0</v>
      </c>
      <c r="I11" s="410">
        <f>I10</f>
        <v>104</v>
      </c>
      <c r="J11" s="411">
        <f>G11*I11</f>
        <v>49920</v>
      </c>
      <c r="K11" s="411">
        <v>0</v>
      </c>
      <c r="L11" s="411">
        <v>0</v>
      </c>
      <c r="M11" s="411">
        <v>0</v>
      </c>
      <c r="N11" s="399">
        <f>(J11*'Labor Data'!$K$10)+(K11*'Labor Data'!$K$9)+(L11*'Labor Data'!$K$11)+(M11*'Labor Data'!$K$8)</f>
        <v>2488711.6800000002</v>
      </c>
      <c r="O11" s="399">
        <f>D11*F11*I11</f>
        <v>21216</v>
      </c>
      <c r="P11" s="411">
        <v>1</v>
      </c>
      <c r="Q11" s="400"/>
      <c r="R11" s="412" t="s">
        <v>1210</v>
      </c>
      <c r="T11" s="413"/>
    </row>
    <row r="12" spans="2:23" s="73" customFormat="1" ht="9" x14ac:dyDescent="0.15">
      <c r="B12" s="84" t="s">
        <v>78</v>
      </c>
      <c r="C12" s="496" t="s">
        <v>93</v>
      </c>
      <c r="D12" s="497"/>
      <c r="E12" s="388"/>
      <c r="F12" s="81"/>
      <c r="G12" s="81"/>
      <c r="H12" s="81"/>
      <c r="I12" s="82"/>
      <c r="J12" s="82"/>
      <c r="K12" s="82"/>
      <c r="L12" s="82"/>
      <c r="M12" s="82"/>
      <c r="N12" s="74"/>
      <c r="O12" s="74"/>
      <c r="P12" s="74"/>
      <c r="Q12" s="135"/>
      <c r="R12" s="80"/>
      <c r="T12" s="88"/>
      <c r="V12" s="73">
        <v>101</v>
      </c>
      <c r="W12" s="73">
        <v>117</v>
      </c>
    </row>
    <row r="13" spans="2:23" s="73" customFormat="1" ht="9" x14ac:dyDescent="0.15">
      <c r="B13" s="84" t="s">
        <v>77</v>
      </c>
      <c r="C13" s="496" t="s">
        <v>93</v>
      </c>
      <c r="D13" s="497"/>
      <c r="E13" s="388"/>
      <c r="F13" s="81"/>
      <c r="G13" s="81"/>
      <c r="H13" s="81"/>
      <c r="I13" s="82"/>
      <c r="J13" s="82"/>
      <c r="K13" s="82"/>
      <c r="L13" s="82"/>
      <c r="M13" s="82"/>
      <c r="N13" s="74"/>
      <c r="O13" s="74"/>
      <c r="P13" s="74"/>
      <c r="Q13" s="135"/>
      <c r="R13" s="80"/>
    </row>
    <row r="14" spans="2:23" s="73" customFormat="1" ht="9" x14ac:dyDescent="0.15">
      <c r="B14" s="84" t="s">
        <v>76</v>
      </c>
      <c r="C14" s="81"/>
      <c r="D14" s="74"/>
      <c r="E14" s="74"/>
      <c r="F14" s="81"/>
      <c r="G14" s="81"/>
      <c r="H14" s="81"/>
      <c r="I14" s="82"/>
      <c r="J14" s="82"/>
      <c r="K14" s="82"/>
      <c r="L14" s="82"/>
      <c r="M14" s="82"/>
      <c r="N14" s="74"/>
      <c r="O14" s="74"/>
      <c r="P14" s="74"/>
      <c r="Q14" s="135"/>
      <c r="R14" s="80"/>
      <c r="V14" s="73">
        <f>454*4</f>
        <v>1816</v>
      </c>
    </row>
    <row r="15" spans="2:23" s="73" customFormat="1" ht="9" x14ac:dyDescent="0.15">
      <c r="B15" s="129" t="s">
        <v>109</v>
      </c>
      <c r="C15" s="81">
        <v>2</v>
      </c>
      <c r="D15" s="74">
        <v>0</v>
      </c>
      <c r="E15" s="74"/>
      <c r="F15" s="81">
        <v>1</v>
      </c>
      <c r="G15" s="81">
        <v>0</v>
      </c>
      <c r="H15" s="81">
        <f t="shared" ref="H15:H22" si="0">C15*F15</f>
        <v>2</v>
      </c>
      <c r="I15" s="83">
        <f>'Annual # of Respondants'!F4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c r="V15" s="73">
        <f>V14*107.33</f>
        <v>194911.28</v>
      </c>
    </row>
    <row r="16" spans="2:23" s="73" customFormat="1" ht="9" x14ac:dyDescent="0.15">
      <c r="B16" s="127" t="s">
        <v>1163</v>
      </c>
      <c r="C16" s="305">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22" s="73" customFormat="1" ht="9" x14ac:dyDescent="0.15">
      <c r="B17" s="127" t="s">
        <v>1164</v>
      </c>
      <c r="C17" s="81">
        <v>8</v>
      </c>
      <c r="D17" s="74">
        <v>0</v>
      </c>
      <c r="E17" s="74"/>
      <c r="F17" s="81">
        <v>1</v>
      </c>
      <c r="G17" s="81">
        <v>0</v>
      </c>
      <c r="H17" s="81">
        <f t="shared" si="0"/>
        <v>8</v>
      </c>
      <c r="I17" s="83">
        <f>'Annual # of Respondants'!F8</f>
        <v>18</v>
      </c>
      <c r="J17" s="82">
        <v>0</v>
      </c>
      <c r="K17" s="82">
        <f t="shared" si="1"/>
        <v>144</v>
      </c>
      <c r="L17" s="82">
        <f t="shared" si="2"/>
        <v>14.4</v>
      </c>
      <c r="M17" s="82">
        <f t="shared" si="3"/>
        <v>7.2</v>
      </c>
      <c r="N17" s="74">
        <f>(J17*'Labor Data'!$K$10)+(K17*'Labor Data'!$K$9)+(L17*'Labor Data'!$K$11)+(M17*'Labor Data'!$K$8)</f>
        <v>13673.772000000001</v>
      </c>
      <c r="O17" s="74">
        <f t="shared" si="4"/>
        <v>0</v>
      </c>
      <c r="P17" s="82">
        <f t="shared" si="5"/>
        <v>18</v>
      </c>
      <c r="Q17" s="136"/>
      <c r="R17" s="80" t="s">
        <v>103</v>
      </c>
      <c r="S17" s="87"/>
    </row>
    <row r="18" spans="2:22" s="73" customFormat="1" ht="9" x14ac:dyDescent="0.15">
      <c r="B18" s="127" t="s">
        <v>1165</v>
      </c>
      <c r="C18" s="119">
        <v>12</v>
      </c>
      <c r="D18" s="399">
        <f>'Other Cost Basis'!D4</f>
        <v>2455.2476209413121</v>
      </c>
      <c r="E18" s="74"/>
      <c r="F18" s="81">
        <v>1</v>
      </c>
      <c r="G18" s="81">
        <v>0</v>
      </c>
      <c r="H18" s="119">
        <f t="shared" si="0"/>
        <v>12</v>
      </c>
      <c r="I18" s="82">
        <f>IF('Annual # of Respondants'!F9&lt;0,0,'Annual # of Respondants'!F9)</f>
        <v>3</v>
      </c>
      <c r="J18" s="82">
        <v>0</v>
      </c>
      <c r="K18" s="82">
        <f t="shared" si="1"/>
        <v>36</v>
      </c>
      <c r="L18" s="82">
        <f t="shared" si="2"/>
        <v>3.6</v>
      </c>
      <c r="M18" s="82">
        <f t="shared" si="3"/>
        <v>1.8</v>
      </c>
      <c r="N18" s="74">
        <f>(J18*'Labor Data'!$K$10)+(K18*'Labor Data'!$K$9)+(L18*'Labor Data'!$K$11)+(M18*'Labor Data'!$K$8)</f>
        <v>3418.4430000000002</v>
      </c>
      <c r="O18" s="399">
        <f>'Respondent Yr1'!O18+D18*F18*I18</f>
        <v>44194.457176943615</v>
      </c>
      <c r="P18" s="82">
        <f t="shared" si="5"/>
        <v>3</v>
      </c>
      <c r="Q18" s="400">
        <f>'Other Cost Basis'!B2</f>
        <v>10067</v>
      </c>
      <c r="R18" s="80" t="s">
        <v>1162</v>
      </c>
      <c r="S18" s="87"/>
      <c r="V18" s="73">
        <f>322/3</f>
        <v>107.33333333333333</v>
      </c>
    </row>
    <row r="19" spans="2:22"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22"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22" s="73" customFormat="1" ht="9" x14ac:dyDescent="0.15">
      <c r="B21" s="127" t="s">
        <v>1168</v>
      </c>
      <c r="C21" s="81">
        <v>80</v>
      </c>
      <c r="D21" s="74">
        <v>0</v>
      </c>
      <c r="E21" s="74"/>
      <c r="F21" s="81">
        <v>1</v>
      </c>
      <c r="G21" s="81">
        <v>0</v>
      </c>
      <c r="H21" s="81">
        <f t="shared" si="0"/>
        <v>80</v>
      </c>
      <c r="I21" s="83">
        <f>I$9</f>
        <v>3</v>
      </c>
      <c r="J21" s="82">
        <v>0</v>
      </c>
      <c r="K21" s="82">
        <f t="shared" si="1"/>
        <v>240</v>
      </c>
      <c r="L21" s="82">
        <f t="shared" si="2"/>
        <v>24</v>
      </c>
      <c r="M21" s="82">
        <f t="shared" si="3"/>
        <v>12</v>
      </c>
      <c r="N21" s="74">
        <f>(J21*'Labor Data'!$K$10)+(K21*'Labor Data'!$K$9)+(L21*'Labor Data'!$K$11)+(M21*'Labor Data'!$K$8)</f>
        <v>22789.62</v>
      </c>
      <c r="O21" s="74">
        <f t="shared" si="4"/>
        <v>0</v>
      </c>
      <c r="P21" s="82">
        <f t="shared" si="5"/>
        <v>3</v>
      </c>
      <c r="Q21" s="136"/>
      <c r="R21" s="80" t="s">
        <v>99</v>
      </c>
      <c r="S21" s="87"/>
    </row>
    <row r="22" spans="2:22" s="73" customFormat="1" ht="9" x14ac:dyDescent="0.15">
      <c r="B22" s="127" t="s">
        <v>1169</v>
      </c>
      <c r="C22" s="305">
        <v>20</v>
      </c>
      <c r="D22" s="74">
        <v>0</v>
      </c>
      <c r="E22" s="74"/>
      <c r="F22" s="81">
        <v>1</v>
      </c>
      <c r="G22" s="81">
        <v>0</v>
      </c>
      <c r="H22" s="81">
        <f t="shared" si="0"/>
        <v>20</v>
      </c>
      <c r="I22" s="83">
        <f>I21*0.1</f>
        <v>0.30000000000000004</v>
      </c>
      <c r="J22" s="82">
        <v>0</v>
      </c>
      <c r="K22" s="82">
        <f t="shared" si="1"/>
        <v>6.0000000000000009</v>
      </c>
      <c r="L22" s="82">
        <f t="shared" si="2"/>
        <v>0.60000000000000009</v>
      </c>
      <c r="M22" s="82">
        <f t="shared" si="3"/>
        <v>0.30000000000000004</v>
      </c>
      <c r="N22" s="74">
        <f>(J22*'Labor Data'!$K$10)+(K22*'Labor Data'!$K$9)+(L22*'Labor Data'!$K$11)+(M22*'Labor Data'!$K$8)</f>
        <v>569.74050000000011</v>
      </c>
      <c r="O22" s="74">
        <f t="shared" si="4"/>
        <v>0</v>
      </c>
      <c r="P22" s="82">
        <f t="shared" si="5"/>
        <v>0.30000000000000004</v>
      </c>
      <c r="Q22" s="136"/>
      <c r="R22" s="80" t="s">
        <v>107</v>
      </c>
      <c r="S22" s="87"/>
    </row>
    <row r="23" spans="2:22" s="73" customFormat="1" ht="9" x14ac:dyDescent="0.15">
      <c r="B23" s="127" t="s">
        <v>1170</v>
      </c>
      <c r="C23" s="496" t="s">
        <v>93</v>
      </c>
      <c r="D23" s="497"/>
      <c r="E23" s="388"/>
      <c r="F23" s="81"/>
      <c r="G23" s="81"/>
      <c r="H23" s="81"/>
      <c r="I23" s="83"/>
      <c r="J23" s="82"/>
      <c r="K23" s="82"/>
      <c r="L23" s="82"/>
      <c r="M23" s="82"/>
      <c r="N23" s="74"/>
      <c r="O23" s="74"/>
      <c r="P23" s="82"/>
      <c r="Q23" s="136"/>
      <c r="R23" s="80"/>
      <c r="S23" s="87"/>
      <c r="V23" s="73">
        <f>15+18+18</f>
        <v>51</v>
      </c>
    </row>
    <row r="24" spans="2:22" s="73" customFormat="1" ht="9" x14ac:dyDescent="0.15">
      <c r="B24" s="127" t="s">
        <v>1171</v>
      </c>
      <c r="C24" s="496" t="s">
        <v>93</v>
      </c>
      <c r="D24" s="497"/>
      <c r="E24" s="388"/>
      <c r="F24" s="81"/>
      <c r="G24" s="81"/>
      <c r="H24" s="81"/>
      <c r="I24" s="83"/>
      <c r="J24" s="82"/>
      <c r="K24" s="82"/>
      <c r="L24" s="82"/>
      <c r="M24" s="82"/>
      <c r="N24" s="74"/>
      <c r="O24" s="74"/>
      <c r="P24" s="82"/>
      <c r="Q24" s="136"/>
      <c r="R24" s="80"/>
      <c r="S24" s="87"/>
      <c r="V24" s="461">
        <f>V23/3</f>
        <v>17</v>
      </c>
    </row>
    <row r="25" spans="2:22" s="73" customFormat="1" ht="9" x14ac:dyDescent="0.15">
      <c r="B25" s="127" t="s">
        <v>1172</v>
      </c>
      <c r="C25" s="408">
        <v>27</v>
      </c>
      <c r="D25" s="74">
        <v>0</v>
      </c>
      <c r="E25" s="74"/>
      <c r="F25" s="81">
        <v>1</v>
      </c>
      <c r="G25" s="81">
        <v>0</v>
      </c>
      <c r="H25" s="81">
        <f>C25*F25</f>
        <v>27</v>
      </c>
      <c r="I25" s="83">
        <f>'Annual # of Respondants'!F6</f>
        <v>104</v>
      </c>
      <c r="J25" s="82">
        <v>0</v>
      </c>
      <c r="K25" s="82">
        <f>H25*I25</f>
        <v>2808</v>
      </c>
      <c r="L25" s="82">
        <f>K25*0.1</f>
        <v>280.8</v>
      </c>
      <c r="M25" s="82">
        <f>K25*0.05</f>
        <v>140.4</v>
      </c>
      <c r="N25" s="74">
        <f>(J25*'Labor Data'!$K$10)+(K25*'Labor Data'!$K$9)+(L25*'Labor Data'!$K$11)+(M25*'Labor Data'!$K$8)</f>
        <v>266638.554</v>
      </c>
      <c r="O25" s="74">
        <f>D25*F25*I25</f>
        <v>0</v>
      </c>
      <c r="P25" s="82">
        <f>F25*I25</f>
        <v>104</v>
      </c>
      <c r="Q25" s="136"/>
      <c r="R25" s="80" t="s">
        <v>1160</v>
      </c>
      <c r="S25" s="87"/>
    </row>
    <row r="26" spans="2:22" s="73" customFormat="1" ht="9" x14ac:dyDescent="0.15">
      <c r="B26" s="86" t="s">
        <v>74</v>
      </c>
      <c r="C26" s="81"/>
      <c r="D26" s="74"/>
      <c r="E26" s="74"/>
      <c r="F26" s="81"/>
      <c r="G26" s="81"/>
      <c r="H26" s="81"/>
      <c r="I26" s="83"/>
      <c r="J26" s="82">
        <f t="shared" ref="J26:O26" si="6">SUM(J7:J25)</f>
        <v>65051.284415766895</v>
      </c>
      <c r="K26" s="82">
        <f t="shared" si="6"/>
        <v>3630</v>
      </c>
      <c r="L26" s="82">
        <f t="shared" si="6"/>
        <v>363</v>
      </c>
      <c r="M26" s="82">
        <f t="shared" si="6"/>
        <v>181.5</v>
      </c>
      <c r="N26" s="74">
        <f t="shared" si="6"/>
        <v>3587759.7357636429</v>
      </c>
      <c r="O26" s="74">
        <f t="shared" si="6"/>
        <v>564367.04356214439</v>
      </c>
      <c r="P26" s="82">
        <f>SUM(P15:P25)+P9</f>
        <v>131.30000000000001</v>
      </c>
      <c r="Q26" s="74">
        <f>SUM(Q7:Q25)</f>
        <v>28134</v>
      </c>
      <c r="R26" s="80"/>
      <c r="S26" s="85" t="e">
        <f>SUM(O7,O9:O10,#REF!,#REF!,#REF!,#REF!,#REF!,#REF!,#REF!)</f>
        <v>#REF!</v>
      </c>
    </row>
    <row r="27" spans="2:22" s="73" customFormat="1" ht="9" x14ac:dyDescent="0.15">
      <c r="B27" s="84" t="s">
        <v>73</v>
      </c>
      <c r="C27" s="81"/>
      <c r="D27" s="74"/>
      <c r="E27" s="74"/>
      <c r="F27" s="81"/>
      <c r="G27" s="81"/>
      <c r="H27" s="81"/>
      <c r="I27" s="82"/>
      <c r="J27" s="82"/>
      <c r="K27" s="82"/>
      <c r="L27" s="82"/>
      <c r="M27" s="82"/>
      <c r="N27" s="74"/>
      <c r="O27" s="74"/>
      <c r="P27" s="74"/>
      <c r="Q27" s="135"/>
      <c r="R27" s="80"/>
    </row>
    <row r="28" spans="2:22" s="73" customFormat="1" ht="9" x14ac:dyDescent="0.15">
      <c r="B28" s="84" t="s">
        <v>72</v>
      </c>
      <c r="C28" s="496" t="s">
        <v>71</v>
      </c>
      <c r="D28" s="497"/>
      <c r="E28" s="388"/>
      <c r="F28" s="81"/>
      <c r="G28" s="81"/>
      <c r="H28" s="81"/>
      <c r="I28" s="82"/>
      <c r="J28" s="82"/>
      <c r="K28" s="82"/>
      <c r="L28" s="82"/>
      <c r="M28" s="82"/>
      <c r="N28" s="74"/>
      <c r="O28" s="74"/>
      <c r="P28" s="74"/>
      <c r="Q28" s="135"/>
      <c r="R28" s="80"/>
    </row>
    <row r="29" spans="2:22" s="73" customFormat="1" ht="9" x14ac:dyDescent="0.15">
      <c r="B29" s="84" t="s">
        <v>70</v>
      </c>
      <c r="C29" s="496" t="s">
        <v>61</v>
      </c>
      <c r="D29" s="497"/>
      <c r="E29" s="388"/>
      <c r="F29" s="81"/>
      <c r="G29" s="81"/>
      <c r="H29" s="81"/>
      <c r="I29" s="82"/>
      <c r="J29" s="82"/>
      <c r="K29" s="82"/>
      <c r="L29" s="82"/>
      <c r="M29" s="82"/>
      <c r="N29" s="74"/>
      <c r="O29" s="74"/>
      <c r="P29" s="74"/>
      <c r="Q29" s="135"/>
      <c r="R29" s="80"/>
    </row>
    <row r="30" spans="2:22" s="73" customFormat="1" ht="9" x14ac:dyDescent="0.15">
      <c r="B30" s="84" t="s">
        <v>69</v>
      </c>
      <c r="C30" s="496" t="s">
        <v>61</v>
      </c>
      <c r="D30" s="497"/>
      <c r="E30" s="388"/>
      <c r="F30" s="81"/>
      <c r="G30" s="81"/>
      <c r="H30" s="81"/>
      <c r="I30" s="82"/>
      <c r="J30" s="82"/>
      <c r="K30" s="82"/>
      <c r="L30" s="82"/>
      <c r="M30" s="82"/>
      <c r="N30" s="74"/>
      <c r="O30" s="74"/>
      <c r="P30" s="74"/>
      <c r="Q30" s="135"/>
      <c r="R30" s="80"/>
    </row>
    <row r="31" spans="2:22" s="73" customFormat="1" ht="9" x14ac:dyDescent="0.15">
      <c r="B31" s="84" t="s">
        <v>68</v>
      </c>
      <c r="C31" s="496" t="s">
        <v>61</v>
      </c>
      <c r="D31" s="497"/>
      <c r="E31" s="388"/>
      <c r="F31" s="81"/>
      <c r="G31" s="81"/>
      <c r="H31" s="81"/>
      <c r="I31" s="82"/>
      <c r="J31" s="82"/>
      <c r="K31" s="82"/>
      <c r="L31" s="82"/>
      <c r="M31" s="82"/>
      <c r="N31" s="74"/>
      <c r="O31" s="74"/>
      <c r="P31" s="74"/>
      <c r="Q31" s="135"/>
      <c r="R31" s="80"/>
    </row>
    <row r="32" spans="2:22" s="73" customFormat="1" ht="9" x14ac:dyDescent="0.15">
      <c r="B32" s="84" t="s">
        <v>66</v>
      </c>
      <c r="C32" s="81"/>
      <c r="D32" s="74"/>
      <c r="E32" s="74"/>
      <c r="F32" s="81"/>
      <c r="G32" s="81"/>
      <c r="H32" s="81"/>
      <c r="I32" s="82"/>
      <c r="J32" s="82"/>
      <c r="K32" s="82"/>
      <c r="L32" s="82"/>
      <c r="M32" s="82"/>
      <c r="N32" s="74"/>
      <c r="O32" s="74"/>
      <c r="P32" s="74"/>
      <c r="Q32" s="135"/>
      <c r="R32" s="80"/>
    </row>
    <row r="33" spans="1:19" s="427" customFormat="1" ht="9.75" customHeight="1" x14ac:dyDescent="0.15">
      <c r="B33" s="428"/>
      <c r="C33" s="419"/>
      <c r="D33" s="420"/>
      <c r="E33" s="420"/>
      <c r="F33" s="419"/>
      <c r="G33" s="419"/>
      <c r="H33" s="419"/>
      <c r="I33" s="421"/>
      <c r="J33" s="422"/>
      <c r="K33" s="422"/>
      <c r="L33" s="422"/>
      <c r="M33" s="422"/>
      <c r="N33" s="420"/>
      <c r="O33" s="420"/>
      <c r="P33" s="422"/>
      <c r="Q33" s="423"/>
      <c r="R33" s="424"/>
    </row>
    <row r="34" spans="1:19" s="73" customFormat="1" ht="9.75" customHeight="1" x14ac:dyDescent="0.15">
      <c r="B34" s="415" t="s">
        <v>1267</v>
      </c>
      <c r="C34" s="417">
        <v>5</v>
      </c>
      <c r="D34" s="74">
        <v>0</v>
      </c>
      <c r="E34" s="74"/>
      <c r="F34" s="408">
        <v>12</v>
      </c>
      <c r="G34" s="81">
        <v>0</v>
      </c>
      <c r="H34" s="81">
        <f>C34*F34</f>
        <v>60</v>
      </c>
      <c r="I34" s="83">
        <f>I$10</f>
        <v>104</v>
      </c>
      <c r="J34" s="82">
        <v>0</v>
      </c>
      <c r="K34" s="82">
        <f>H34*I34</f>
        <v>6240</v>
      </c>
      <c r="L34" s="82">
        <f>K34*0.1</f>
        <v>624</v>
      </c>
      <c r="M34" s="82">
        <f>K34*0.05</f>
        <v>312</v>
      </c>
      <c r="N34" s="74">
        <f>(J34*'Labor Data'!$K$10)+(K34*'Labor Data'!$K$9)+(L34*'Labor Data'!$K$11)+(M34*'Labor Data'!$K$8)</f>
        <v>592530.12</v>
      </c>
      <c r="O34" s="74">
        <f>D34*F34*I34</f>
        <v>0</v>
      </c>
      <c r="P34" s="82">
        <v>0</v>
      </c>
      <c r="Q34" s="136"/>
      <c r="R34" s="412" t="s">
        <v>1159</v>
      </c>
    </row>
    <row r="35" spans="1:19" s="73" customFormat="1" ht="9" x14ac:dyDescent="0.15">
      <c r="B35" s="416" t="s">
        <v>1261</v>
      </c>
      <c r="C35" s="408">
        <v>11</v>
      </c>
      <c r="D35" s="74">
        <v>0</v>
      </c>
      <c r="E35" s="74"/>
      <c r="F35" s="408">
        <v>12</v>
      </c>
      <c r="G35" s="81">
        <v>0</v>
      </c>
      <c r="H35" s="81">
        <f>C35*F35</f>
        <v>132</v>
      </c>
      <c r="I35" s="410">
        <f>I$10</f>
        <v>104</v>
      </c>
      <c r="J35" s="82">
        <v>0</v>
      </c>
      <c r="K35" s="82">
        <f>H35*I35</f>
        <v>13728</v>
      </c>
      <c r="L35" s="82">
        <f>K35*0.1</f>
        <v>1372.8000000000002</v>
      </c>
      <c r="M35" s="82">
        <f>K35*0.05</f>
        <v>686.40000000000009</v>
      </c>
      <c r="N35" s="74">
        <f>(J35*'Labor Data'!$K$10)+(K35*'Labor Data'!$K$9)+(L35*'Labor Data'!$K$11)+(M35*'Labor Data'!$K$8)</f>
        <v>1303566.2640000002</v>
      </c>
      <c r="O35" s="74">
        <f>D35*F35*I35</f>
        <v>0</v>
      </c>
      <c r="P35" s="82">
        <v>0</v>
      </c>
      <c r="Q35" s="136"/>
      <c r="R35" s="80" t="s">
        <v>1159</v>
      </c>
    </row>
    <row r="36" spans="1:19" s="406" customFormat="1" ht="9" x14ac:dyDescent="0.15">
      <c r="B36" s="416" t="s">
        <v>1260</v>
      </c>
      <c r="C36" s="417">
        <v>4</v>
      </c>
      <c r="D36" s="399">
        <v>0</v>
      </c>
      <c r="E36" s="405"/>
      <c r="F36" s="408">
        <v>1</v>
      </c>
      <c r="G36" s="408">
        <v>0</v>
      </c>
      <c r="H36" s="408">
        <f>C36*F36</f>
        <v>4</v>
      </c>
      <c r="I36" s="410">
        <f>'Annual # of Respondants'!F5-'Annual # of Respondants'!F6</f>
        <v>43</v>
      </c>
      <c r="J36" s="411">
        <v>0</v>
      </c>
      <c r="K36" s="411">
        <f>H36*I36</f>
        <v>172</v>
      </c>
      <c r="L36" s="411">
        <f>K36*0.1</f>
        <v>17.2</v>
      </c>
      <c r="M36" s="411">
        <f>K36*0.05</f>
        <v>8.6</v>
      </c>
      <c r="N36" s="399">
        <f>(J36*'Labor Data'!$K$10)+(K36*'Labor Data'!$K$9)+(L36*'Labor Data'!$K$11)+(M36*'Labor Data'!$K$8)</f>
        <v>16332.561000000002</v>
      </c>
      <c r="O36" s="399">
        <f>D36*F36*I36</f>
        <v>0</v>
      </c>
      <c r="P36" s="411">
        <v>1</v>
      </c>
      <c r="Q36" s="400"/>
      <c r="R36" s="412" t="s">
        <v>1262</v>
      </c>
    </row>
    <row r="37" spans="1:19" s="73" customFormat="1" ht="9" x14ac:dyDescent="0.15">
      <c r="B37" s="84" t="s">
        <v>64</v>
      </c>
      <c r="C37" s="496" t="s">
        <v>61</v>
      </c>
      <c r="D37" s="497"/>
      <c r="E37" s="388"/>
      <c r="F37" s="81"/>
      <c r="G37" s="81"/>
      <c r="H37" s="81"/>
      <c r="I37" s="83"/>
      <c r="J37" s="82"/>
      <c r="K37" s="82"/>
      <c r="L37" s="82"/>
      <c r="M37" s="82"/>
      <c r="N37" s="74"/>
      <c r="O37" s="74"/>
      <c r="P37" s="82"/>
      <c r="Q37" s="136"/>
      <c r="R37" s="80"/>
    </row>
    <row r="38" spans="1:19" s="73" customFormat="1" ht="9" x14ac:dyDescent="0.15">
      <c r="B38" s="128" t="s">
        <v>62</v>
      </c>
      <c r="C38" s="496" t="s">
        <v>61</v>
      </c>
      <c r="D38" s="497"/>
      <c r="E38" s="388"/>
      <c r="F38" s="81"/>
      <c r="G38" s="81"/>
      <c r="H38" s="81"/>
      <c r="I38" s="83"/>
      <c r="J38" s="82"/>
      <c r="K38" s="82"/>
      <c r="L38" s="82"/>
      <c r="M38" s="82"/>
      <c r="N38" s="74"/>
      <c r="O38" s="74"/>
      <c r="P38" s="74"/>
      <c r="Q38" s="135"/>
      <c r="R38" s="80"/>
    </row>
    <row r="39" spans="1:19" s="73" customFormat="1" ht="9" x14ac:dyDescent="0.15">
      <c r="B39" s="79" t="s">
        <v>60</v>
      </c>
      <c r="C39" s="78"/>
      <c r="D39" s="77"/>
      <c r="E39" s="77"/>
      <c r="F39" s="78"/>
      <c r="G39" s="78"/>
      <c r="H39" s="78"/>
      <c r="I39" s="76"/>
      <c r="J39" s="76">
        <f>SUM(J28:J38)</f>
        <v>0</v>
      </c>
      <c r="K39" s="76">
        <f t="shared" ref="K39:Q39" si="7">SUM(K28:K38)</f>
        <v>20140</v>
      </c>
      <c r="L39" s="76">
        <f t="shared" si="7"/>
        <v>2014.0000000000002</v>
      </c>
      <c r="M39" s="76">
        <f t="shared" si="7"/>
        <v>1007.0000000000001</v>
      </c>
      <c r="N39" s="77">
        <f t="shared" si="7"/>
        <v>1912428.9450000001</v>
      </c>
      <c r="O39" s="77">
        <f t="shared" si="7"/>
        <v>0</v>
      </c>
      <c r="P39" s="76">
        <f t="shared" si="7"/>
        <v>1</v>
      </c>
      <c r="Q39" s="77">
        <f t="shared" si="7"/>
        <v>0</v>
      </c>
      <c r="R39" s="75"/>
      <c r="S39" s="74">
        <f>SUM(S28:S38)</f>
        <v>0</v>
      </c>
    </row>
    <row r="40" spans="1:19" s="65" customFormat="1" x14ac:dyDescent="0.2">
      <c r="B40" s="72" t="s">
        <v>59</v>
      </c>
      <c r="C40" s="70"/>
      <c r="D40" s="71"/>
      <c r="E40" s="71"/>
      <c r="F40" s="70"/>
      <c r="G40" s="70"/>
      <c r="H40" s="70"/>
      <c r="I40" s="69"/>
      <c r="J40" s="67">
        <f t="shared" ref="J40:Q40" si="8">J26+J39</f>
        <v>65051.284415766895</v>
      </c>
      <c r="K40" s="67">
        <f t="shared" si="8"/>
        <v>23770</v>
      </c>
      <c r="L40" s="67">
        <f t="shared" si="8"/>
        <v>2377</v>
      </c>
      <c r="M40" s="67">
        <f t="shared" si="8"/>
        <v>1188.5</v>
      </c>
      <c r="N40" s="68">
        <f t="shared" si="8"/>
        <v>5500188.6807636432</v>
      </c>
      <c r="O40" s="68">
        <f>O26+O39</f>
        <v>564367.04356214439</v>
      </c>
      <c r="P40" s="67">
        <f t="shared" si="8"/>
        <v>132.30000000000001</v>
      </c>
      <c r="Q40" s="68">
        <f t="shared" si="8"/>
        <v>28134</v>
      </c>
      <c r="R40" s="66"/>
    </row>
    <row r="41" spans="1:19" ht="6" customHeight="1" x14ac:dyDescent="0.2"/>
    <row r="42" spans="1:19" s="62" customFormat="1" ht="12.75" customHeight="1" x14ac:dyDescent="0.15">
      <c r="A42" s="122" t="s">
        <v>96</v>
      </c>
      <c r="B42" s="126"/>
      <c r="C42" s="126"/>
      <c r="D42" s="126"/>
      <c r="E42" s="126"/>
      <c r="F42" s="126"/>
      <c r="G42" s="126"/>
      <c r="H42" s="126"/>
      <c r="I42" s="126"/>
      <c r="J42" s="126"/>
      <c r="K42" s="126"/>
      <c r="L42" s="126"/>
      <c r="M42" s="126"/>
      <c r="N42" s="126"/>
      <c r="O42" s="126"/>
      <c r="P42" s="126"/>
      <c r="Q42" s="126"/>
      <c r="R42" s="63"/>
    </row>
    <row r="43" spans="1:19" s="359" customFormat="1" ht="9" customHeight="1" x14ac:dyDescent="0.15">
      <c r="A43" s="358" t="s">
        <v>75</v>
      </c>
      <c r="B43" s="414" t="s">
        <v>1257</v>
      </c>
    </row>
    <row r="44" spans="1:19" s="359" customFormat="1" ht="19.5" customHeight="1" x14ac:dyDescent="0.15">
      <c r="A44" s="358" t="s">
        <v>97</v>
      </c>
      <c r="B44" s="494" t="s">
        <v>1232</v>
      </c>
      <c r="C44" s="494"/>
      <c r="D44" s="494"/>
      <c r="E44" s="494"/>
      <c r="F44" s="494"/>
      <c r="G44" s="494"/>
      <c r="H44" s="494"/>
      <c r="I44" s="494"/>
      <c r="J44" s="494"/>
      <c r="K44" s="494"/>
      <c r="L44" s="494"/>
      <c r="M44" s="494"/>
      <c r="N44" s="494"/>
      <c r="O44" s="494"/>
      <c r="P44" s="494"/>
      <c r="Q44" s="494"/>
      <c r="R44" s="494"/>
    </row>
    <row r="45" spans="1:19" s="359" customFormat="1" ht="9" customHeight="1" x14ac:dyDescent="0.15">
      <c r="A45" s="358" t="s">
        <v>65</v>
      </c>
      <c r="B45" s="360" t="s">
        <v>842</v>
      </c>
    </row>
    <row r="46" spans="1:19" s="359" customFormat="1" ht="9" x14ac:dyDescent="0.15">
      <c r="A46" s="358" t="s">
        <v>98</v>
      </c>
      <c r="B46" s="360" t="s">
        <v>1229</v>
      </c>
      <c r="C46" s="357"/>
      <c r="D46" s="357"/>
      <c r="E46" s="390"/>
      <c r="F46" s="357"/>
      <c r="G46" s="357"/>
      <c r="H46" s="357"/>
      <c r="I46" s="357"/>
      <c r="J46" s="357"/>
      <c r="K46" s="357"/>
      <c r="L46" s="357"/>
      <c r="M46" s="357"/>
      <c r="N46" s="357"/>
      <c r="O46" s="357"/>
      <c r="P46" s="357"/>
      <c r="Q46" s="357"/>
      <c r="R46" s="357"/>
    </row>
    <row r="47" spans="1:19" s="359" customFormat="1" ht="29.25" customHeight="1" x14ac:dyDescent="0.15">
      <c r="A47" s="358" t="s">
        <v>67</v>
      </c>
      <c r="B47" s="492" t="s">
        <v>1265</v>
      </c>
      <c r="C47" s="492"/>
      <c r="D47" s="492"/>
      <c r="E47" s="492"/>
      <c r="F47" s="492"/>
      <c r="G47" s="492"/>
      <c r="H47" s="492"/>
      <c r="I47" s="492"/>
      <c r="J47" s="492"/>
      <c r="K47" s="492"/>
      <c r="L47" s="492"/>
      <c r="M47" s="492"/>
      <c r="N47" s="492"/>
      <c r="O47" s="492"/>
      <c r="P47" s="492"/>
      <c r="Q47" s="492"/>
      <c r="R47" s="492"/>
    </row>
    <row r="48" spans="1:19" s="359" customFormat="1" ht="9" x14ac:dyDescent="0.15">
      <c r="A48" s="358" t="s">
        <v>99</v>
      </c>
      <c r="B48" s="359" t="s">
        <v>1211</v>
      </c>
    </row>
    <row r="49" spans="1:18" s="359" customFormat="1" ht="39.75" customHeight="1" x14ac:dyDescent="0.15">
      <c r="A49" s="358" t="s">
        <v>100</v>
      </c>
      <c r="B49" s="492" t="s">
        <v>1275</v>
      </c>
      <c r="C49" s="492"/>
      <c r="D49" s="492"/>
      <c r="E49" s="492"/>
      <c r="F49" s="492"/>
      <c r="G49" s="492"/>
      <c r="H49" s="492"/>
      <c r="I49" s="492"/>
      <c r="J49" s="492"/>
      <c r="K49" s="492"/>
      <c r="L49" s="492"/>
      <c r="M49" s="492"/>
      <c r="N49" s="492"/>
      <c r="O49" s="492"/>
      <c r="P49" s="492"/>
      <c r="Q49" s="492"/>
      <c r="R49" s="492"/>
    </row>
    <row r="50" spans="1:18" s="359" customFormat="1" ht="9" x14ac:dyDescent="0.15">
      <c r="A50" s="358" t="s">
        <v>101</v>
      </c>
      <c r="B50" s="494" t="s">
        <v>1222</v>
      </c>
      <c r="C50" s="494"/>
      <c r="D50" s="494"/>
      <c r="E50" s="494"/>
      <c r="F50" s="494"/>
      <c r="G50" s="494"/>
      <c r="H50" s="494"/>
      <c r="I50" s="494"/>
      <c r="J50" s="494"/>
      <c r="K50" s="494"/>
      <c r="L50" s="494"/>
      <c r="M50" s="494"/>
      <c r="N50" s="494"/>
      <c r="O50" s="494"/>
      <c r="P50" s="494"/>
      <c r="Q50" s="494"/>
      <c r="R50" s="494"/>
    </row>
    <row r="51" spans="1:18" s="359" customFormat="1" ht="9" customHeight="1" x14ac:dyDescent="0.15">
      <c r="A51" s="358" t="s">
        <v>102</v>
      </c>
      <c r="B51" s="362" t="s">
        <v>1224</v>
      </c>
      <c r="C51" s="361"/>
      <c r="D51" s="361"/>
      <c r="E51" s="361"/>
      <c r="F51" s="361"/>
      <c r="G51" s="361"/>
      <c r="H51" s="361"/>
      <c r="I51" s="361"/>
      <c r="J51" s="361"/>
      <c r="K51" s="361"/>
      <c r="L51" s="361"/>
      <c r="M51" s="361"/>
      <c r="P51" s="363"/>
      <c r="Q51" s="363"/>
      <c r="R51" s="364"/>
    </row>
    <row r="52" spans="1:18" s="359" customFormat="1" ht="10.5" customHeight="1" x14ac:dyDescent="0.15">
      <c r="A52" s="358" t="s">
        <v>103</v>
      </c>
      <c r="B52" s="359" t="s">
        <v>1200</v>
      </c>
      <c r="C52" s="364"/>
      <c r="D52" s="364"/>
      <c r="E52" s="364"/>
      <c r="F52" s="364"/>
      <c r="G52" s="364"/>
      <c r="H52" s="364"/>
      <c r="I52" s="365"/>
      <c r="J52" s="364"/>
      <c r="K52" s="364"/>
      <c r="L52" s="364"/>
      <c r="M52" s="364"/>
      <c r="P52" s="363"/>
      <c r="Q52" s="363"/>
      <c r="R52" s="364"/>
    </row>
    <row r="53" spans="1:18" s="359" customFormat="1" ht="9" customHeight="1" x14ac:dyDescent="0.15">
      <c r="A53" s="358" t="s">
        <v>63</v>
      </c>
      <c r="B53" s="403" t="s">
        <v>1266</v>
      </c>
      <c r="C53" s="364"/>
      <c r="D53" s="364"/>
      <c r="E53" s="364"/>
      <c r="F53" s="364"/>
      <c r="G53" s="364"/>
      <c r="H53" s="364"/>
      <c r="I53" s="365"/>
      <c r="J53" s="364"/>
      <c r="K53" s="364"/>
      <c r="L53" s="364"/>
      <c r="M53" s="364"/>
      <c r="P53" s="363"/>
      <c r="Q53" s="363"/>
      <c r="R53" s="364"/>
    </row>
    <row r="54" spans="1:18" s="359" customFormat="1" ht="9" x14ac:dyDescent="0.15">
      <c r="A54" s="358" t="s">
        <v>104</v>
      </c>
      <c r="B54" s="360" t="s">
        <v>108</v>
      </c>
      <c r="C54" s="364"/>
      <c r="D54" s="364"/>
      <c r="E54" s="364"/>
      <c r="F54" s="364"/>
      <c r="G54" s="364"/>
      <c r="H54" s="364"/>
      <c r="I54" s="365"/>
      <c r="J54" s="364"/>
      <c r="K54" s="364"/>
      <c r="L54" s="364"/>
      <c r="M54" s="364"/>
      <c r="P54" s="363"/>
      <c r="Q54" s="363"/>
      <c r="R54" s="364"/>
    </row>
    <row r="55" spans="1:18" s="359" customFormat="1" ht="9" x14ac:dyDescent="0.15">
      <c r="A55" s="358" t="s">
        <v>105</v>
      </c>
      <c r="B55" s="359" t="s">
        <v>841</v>
      </c>
      <c r="P55" s="363"/>
      <c r="Q55" s="363"/>
      <c r="R55" s="364"/>
    </row>
    <row r="56" spans="1:18" s="359" customFormat="1" ht="9" x14ac:dyDescent="0.15">
      <c r="A56" s="358" t="s">
        <v>107</v>
      </c>
      <c r="B56" s="359" t="s">
        <v>1158</v>
      </c>
      <c r="P56" s="363"/>
      <c r="Q56" s="363"/>
      <c r="R56" s="364"/>
    </row>
    <row r="57" spans="1:18" s="359" customFormat="1" ht="9" x14ac:dyDescent="0.15">
      <c r="A57" s="358" t="s">
        <v>1160</v>
      </c>
      <c r="B57" s="403" t="s">
        <v>1270</v>
      </c>
      <c r="C57" s="364"/>
      <c r="D57" s="364"/>
      <c r="E57" s="364"/>
      <c r="F57" s="364"/>
      <c r="G57" s="364"/>
      <c r="H57" s="364"/>
      <c r="I57" s="365"/>
      <c r="J57" s="364"/>
      <c r="K57" s="364"/>
      <c r="L57" s="364"/>
      <c r="M57" s="364"/>
      <c r="N57" s="364"/>
      <c r="O57" s="363"/>
      <c r="P57" s="363"/>
      <c r="Q57" s="363"/>
      <c r="R57" s="364"/>
    </row>
    <row r="58" spans="1:18" s="359" customFormat="1" ht="9" x14ac:dyDescent="0.15">
      <c r="A58" s="358" t="s">
        <v>1159</v>
      </c>
      <c r="B58" s="403" t="s">
        <v>1271</v>
      </c>
      <c r="C58" s="357"/>
      <c r="D58" s="357"/>
      <c r="E58" s="390"/>
      <c r="F58" s="357"/>
      <c r="G58" s="357"/>
      <c r="H58" s="357"/>
      <c r="I58" s="357"/>
      <c r="J58" s="357"/>
      <c r="K58" s="357"/>
      <c r="L58" s="357"/>
      <c r="M58" s="357"/>
      <c r="N58" s="357"/>
      <c r="O58" s="357"/>
      <c r="P58" s="357"/>
      <c r="Q58" s="357"/>
      <c r="R58" s="357"/>
    </row>
    <row r="59" spans="1:18" s="62" customFormat="1" ht="9" x14ac:dyDescent="0.15">
      <c r="A59" s="358" t="s">
        <v>1262</v>
      </c>
      <c r="B59" s="403" t="s">
        <v>1264</v>
      </c>
      <c r="C59" s="306"/>
      <c r="D59" s="306"/>
      <c r="E59" s="387"/>
      <c r="F59" s="306"/>
      <c r="G59" s="306"/>
      <c r="H59" s="306"/>
      <c r="I59" s="306"/>
      <c r="J59" s="306"/>
      <c r="K59" s="306"/>
      <c r="L59" s="306"/>
      <c r="M59" s="306"/>
      <c r="N59" s="306"/>
      <c r="O59" s="306"/>
      <c r="P59" s="306"/>
      <c r="Q59" s="306"/>
    </row>
    <row r="60" spans="1:18" s="62" customFormat="1" ht="9" x14ac:dyDescent="0.15">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ht="9" x14ac:dyDescent="0.15">
      <c r="C76" s="63"/>
      <c r="D76" s="63"/>
      <c r="E76" s="63"/>
      <c r="F76" s="63"/>
      <c r="G76" s="63"/>
      <c r="H76" s="63"/>
      <c r="I76" s="64"/>
      <c r="J76" s="63"/>
      <c r="K76" s="63"/>
      <c r="L76" s="63"/>
      <c r="M76" s="63"/>
      <c r="N76" s="63"/>
      <c r="O76" s="61"/>
      <c r="P76" s="61"/>
      <c r="Q76" s="61"/>
      <c r="R76" s="63"/>
    </row>
    <row r="77" spans="3:18" s="62" customFormat="1" x14ac:dyDescent="0.2">
      <c r="C77" s="63"/>
      <c r="D77" s="63"/>
      <c r="E77" s="63"/>
      <c r="F77" s="63"/>
      <c r="G77" s="63"/>
      <c r="H77" s="63"/>
      <c r="I77" s="64"/>
      <c r="J77" s="63"/>
      <c r="K77" s="63"/>
      <c r="L77" s="63"/>
      <c r="M77" s="63"/>
      <c r="N77" s="63"/>
      <c r="O77" s="61"/>
      <c r="P77" s="61"/>
      <c r="Q77" s="61"/>
      <c r="R77" s="58"/>
    </row>
    <row r="78" spans="3:18" s="62" customFormat="1" x14ac:dyDescent="0.2">
      <c r="C78" s="63"/>
      <c r="D78" s="63"/>
      <c r="E78" s="63"/>
      <c r="F78" s="63"/>
      <c r="G78" s="58"/>
      <c r="H78" s="63"/>
      <c r="I78" s="64"/>
      <c r="J78" s="58"/>
      <c r="K78" s="63"/>
      <c r="L78" s="63"/>
      <c r="M78" s="63"/>
      <c r="N78" s="63"/>
      <c r="O78" s="61"/>
      <c r="P78" s="61"/>
      <c r="Q78" s="61"/>
      <c r="R78" s="58"/>
    </row>
    <row r="79" spans="3:18" x14ac:dyDescent="0.2">
      <c r="P79" s="61"/>
      <c r="Q79" s="61"/>
    </row>
    <row r="80" spans="3:18" x14ac:dyDescent="0.2">
      <c r="P80" s="61"/>
      <c r="Q80" s="61"/>
    </row>
  </sheetData>
  <mergeCells count="18">
    <mergeCell ref="C4:D4"/>
    <mergeCell ref="B1:R1"/>
    <mergeCell ref="B2:R2"/>
    <mergeCell ref="B49:R49"/>
    <mergeCell ref="B50:R50"/>
    <mergeCell ref="B44:R44"/>
    <mergeCell ref="C5:D5"/>
    <mergeCell ref="C12:D12"/>
    <mergeCell ref="C13:D13"/>
    <mergeCell ref="C23:D23"/>
    <mergeCell ref="C24:D24"/>
    <mergeCell ref="C28:D28"/>
    <mergeCell ref="C29:D29"/>
    <mergeCell ref="C30:D30"/>
    <mergeCell ref="C31:D31"/>
    <mergeCell ref="C37:D37"/>
    <mergeCell ref="B47:R47"/>
    <mergeCell ref="C38:D38"/>
  </mergeCells>
  <pageMargins left="0.25" right="0.25" top="0.5" bottom="0.5" header="0.5" footer="0.5"/>
  <pageSetup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zoomScale="145" zoomScaleNormal="145" workbookViewId="0">
      <pane xSplit="9" ySplit="2" topLeftCell="J16" activePane="bottomRight" state="frozen"/>
      <selection activeCell="A4" sqref="A4:XFD4"/>
      <selection pane="topRight" activeCell="A4" sqref="A4:XFD4"/>
      <selection pane="bottomLeft" activeCell="A4" sqref="A4:XFD4"/>
      <selection pane="bottomRight" activeCell="D18" sqref="D18"/>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0" x14ac:dyDescent="0.2">
      <c r="B1" s="493" t="s">
        <v>1239</v>
      </c>
      <c r="C1" s="493"/>
      <c r="D1" s="493"/>
      <c r="E1" s="493"/>
      <c r="F1" s="493"/>
      <c r="G1" s="493"/>
      <c r="H1" s="493"/>
      <c r="I1" s="493"/>
      <c r="J1" s="493"/>
      <c r="K1" s="493"/>
      <c r="L1" s="493"/>
      <c r="M1" s="493"/>
      <c r="N1" s="493"/>
      <c r="O1" s="493"/>
      <c r="P1" s="493"/>
      <c r="Q1" s="493"/>
      <c r="R1" s="493"/>
    </row>
    <row r="2" spans="2:20" x14ac:dyDescent="0.2">
      <c r="B2" s="495" t="s">
        <v>1186</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Respondants'!G3</f>
        <v>2</v>
      </c>
      <c r="J7" s="82">
        <v>0</v>
      </c>
      <c r="K7" s="82">
        <f>H7*I7</f>
        <v>80</v>
      </c>
      <c r="L7" s="82">
        <f>K7*0.1</f>
        <v>8</v>
      </c>
      <c r="M7" s="83">
        <f>K7*0.05</f>
        <v>4</v>
      </c>
      <c r="N7" s="74">
        <f>(J7*'Labor Data'!$K$10)+(K7*'Labor Data'!$K$9)+(L7*'Labor Data'!$K$11)+(M7*'Labor Data'!$K$8)</f>
        <v>7596.5400000000009</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c r="T8" s="88"/>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Respondants'!G12</f>
        <v>1</v>
      </c>
      <c r="J9" s="82">
        <v>0</v>
      </c>
      <c r="K9" s="82">
        <f>H9*I9</f>
        <v>12</v>
      </c>
      <c r="L9" s="82">
        <f>K9*0.1</f>
        <v>1.2000000000000002</v>
      </c>
      <c r="M9" s="82">
        <f>K9*0.05</f>
        <v>0.60000000000000009</v>
      </c>
      <c r="N9" s="74">
        <f>(J9*'Labor Data'!$K$10)+(K9*'Labor Data'!$K$9)+(L9*'Labor Data'!$K$11)+(M9*'Labor Data'!$K$8)</f>
        <v>1139.4810000000002</v>
      </c>
      <c r="O9" s="426">
        <f>'1.A-Public'!O9+(D9+E9)*F9*I9</f>
        <v>77575.146596300212</v>
      </c>
      <c r="P9" s="82">
        <f>F9*I9</f>
        <v>1</v>
      </c>
      <c r="Q9" s="136">
        <f>'Other Cost Basis'!B2+'Other Cost Basis'!B17+'Other Cost Basis'!B18+'Other Cost Basis'!B19</f>
        <v>18067</v>
      </c>
      <c r="R9" s="80" t="s">
        <v>106</v>
      </c>
      <c r="T9" s="88"/>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Respondants'!G6</f>
        <v>26</v>
      </c>
      <c r="J10" s="82">
        <f>G10*I10</f>
        <v>3782.8211039417242</v>
      </c>
      <c r="K10" s="82">
        <v>0</v>
      </c>
      <c r="L10" s="82">
        <v>0</v>
      </c>
      <c r="M10" s="82">
        <v>0</v>
      </c>
      <c r="N10" s="74">
        <f>(J10*'Labor Data'!$K$10)+(K10*'Labor Data'!$K$9)+(L10*'Labor Data'!$K$11)+(M10*'Labor Data'!$K$8)</f>
        <v>188588.76331591071</v>
      </c>
      <c r="O10" s="74">
        <f>D10*F10*I10</f>
        <v>47164</v>
      </c>
      <c r="P10" s="82">
        <v>0</v>
      </c>
      <c r="Q10" s="136"/>
      <c r="R10" s="80" t="s">
        <v>1210</v>
      </c>
      <c r="T10" s="88"/>
    </row>
    <row r="11" spans="2:20" s="73" customFormat="1" ht="9" x14ac:dyDescent="0.15">
      <c r="B11" s="130" t="s">
        <v>1253</v>
      </c>
      <c r="C11" s="468">
        <f>ROUND(2000/49.85,0)</f>
        <v>40</v>
      </c>
      <c r="D11" s="469">
        <f>'Other Cost Basis'!F15</f>
        <v>17</v>
      </c>
      <c r="E11" s="469"/>
      <c r="F11" s="81">
        <v>12</v>
      </c>
      <c r="G11" s="119">
        <f>C11*F11</f>
        <v>480</v>
      </c>
      <c r="H11" s="81">
        <v>0</v>
      </c>
      <c r="I11" s="83">
        <f>I10</f>
        <v>26</v>
      </c>
      <c r="J11" s="82">
        <f>G11*I11</f>
        <v>12480</v>
      </c>
      <c r="K11" s="82">
        <v>0</v>
      </c>
      <c r="L11" s="82">
        <v>0</v>
      </c>
      <c r="M11" s="82">
        <v>0</v>
      </c>
      <c r="N11" s="74">
        <f>(J11*'Labor Data'!$K$10)+(K11*'Labor Data'!$K$9)+(L11*'Labor Data'!$K$11)+(M11*'Labor Data'!$K$8)</f>
        <v>622177.92000000004</v>
      </c>
      <c r="O11" s="74">
        <f>D11*F11*I11</f>
        <v>5304</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c r="T12" s="88"/>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Respondants'!G4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Respondants'!G8</f>
        <v>6.5</v>
      </c>
      <c r="J17" s="82">
        <v>0</v>
      </c>
      <c r="K17" s="82">
        <f t="shared" si="1"/>
        <v>52</v>
      </c>
      <c r="L17" s="82">
        <f t="shared" si="2"/>
        <v>5.2</v>
      </c>
      <c r="M17" s="82">
        <f t="shared" si="3"/>
        <v>2.6</v>
      </c>
      <c r="N17" s="74">
        <f>(J17*'Labor Data'!$K$10)+(K17*'Labor Data'!$K$9)+(L17*'Labor Data'!$K$11)+(M17*'Labor Data'!$K$8)</f>
        <v>4937.7510000000002</v>
      </c>
      <c r="O17" s="74">
        <f t="shared" si="4"/>
        <v>0</v>
      </c>
      <c r="P17" s="82">
        <f t="shared" si="5"/>
        <v>6.5</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2">
        <f>IF('Annual # of Respondants'!G9&lt;0,0,'Annual # of Respondants'!G9)</f>
        <v>0.5</v>
      </c>
      <c r="J18" s="82">
        <v>0</v>
      </c>
      <c r="K18" s="82">
        <f t="shared" si="1"/>
        <v>6</v>
      </c>
      <c r="L18" s="82">
        <f t="shared" si="2"/>
        <v>0.60000000000000009</v>
      </c>
      <c r="M18" s="82">
        <f t="shared" si="3"/>
        <v>0.30000000000000004</v>
      </c>
      <c r="N18" s="74">
        <f>(J18*'Labor Data'!$K$10)+(K18*'Labor Data'!$K$9)+(L18*'Labor Data'!$K$11)+(M18*'Labor Data'!$K$8)</f>
        <v>569.74050000000011</v>
      </c>
      <c r="O18" s="74">
        <f>'1.A-Public'!O18+D18*F18*I18</f>
        <v>15959.109536118527</v>
      </c>
      <c r="P18" s="82">
        <f t="shared" si="5"/>
        <v>0.5</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I$9</f>
        <v>1</v>
      </c>
      <c r="J21" s="82">
        <v>0</v>
      </c>
      <c r="K21" s="82">
        <f t="shared" si="1"/>
        <v>80</v>
      </c>
      <c r="L21" s="82">
        <f t="shared" si="2"/>
        <v>8</v>
      </c>
      <c r="M21" s="82">
        <f t="shared" si="3"/>
        <v>4</v>
      </c>
      <c r="N21" s="74">
        <f>(J21*'Labor Data'!$K$10)+(K21*'Labor Data'!$K$9)+(L21*'Labor Data'!$K$11)+(M21*'Labor Data'!$K$8)</f>
        <v>7596.5400000000009</v>
      </c>
      <c r="O21" s="74">
        <f t="shared" si="4"/>
        <v>0</v>
      </c>
      <c r="P21" s="82">
        <f t="shared" si="5"/>
        <v>1</v>
      </c>
      <c r="Q21" s="136"/>
      <c r="R21" s="80" t="s">
        <v>99</v>
      </c>
      <c r="S21" s="87"/>
    </row>
    <row r="22" spans="2:19" s="73" customFormat="1" ht="9" x14ac:dyDescent="0.15">
      <c r="B22" s="127" t="s">
        <v>1169</v>
      </c>
      <c r="C22" s="466">
        <v>20</v>
      </c>
      <c r="D22" s="74">
        <v>0</v>
      </c>
      <c r="E22" s="74"/>
      <c r="F22" s="81">
        <v>1</v>
      </c>
      <c r="G22" s="81">
        <v>0</v>
      </c>
      <c r="H22" s="81">
        <f t="shared" si="0"/>
        <v>20</v>
      </c>
      <c r="I22" s="83">
        <f>I21*0.1</f>
        <v>0.1</v>
      </c>
      <c r="J22" s="82">
        <v>0</v>
      </c>
      <c r="K22" s="82">
        <f t="shared" si="1"/>
        <v>2</v>
      </c>
      <c r="L22" s="82">
        <f t="shared" si="2"/>
        <v>0.2</v>
      </c>
      <c r="M22" s="82">
        <f t="shared" si="3"/>
        <v>0.1</v>
      </c>
      <c r="N22" s="74">
        <f>(J22*'Labor Data'!$K$10)+(K22*'Labor Data'!$K$9)+(L22*'Labor Data'!$K$11)+(M22*'Labor Data'!$K$8)</f>
        <v>189.9135</v>
      </c>
      <c r="O22" s="74">
        <f t="shared" si="4"/>
        <v>0</v>
      </c>
      <c r="P22" s="82">
        <f t="shared" si="5"/>
        <v>0.1</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'Annual # of Respondants'!G6</f>
        <v>26</v>
      </c>
      <c r="J25" s="82">
        <v>0</v>
      </c>
      <c r="K25" s="82">
        <f>H25*I25</f>
        <v>702</v>
      </c>
      <c r="L25" s="82">
        <f>K25*0.1</f>
        <v>70.2</v>
      </c>
      <c r="M25" s="82">
        <f>K25*0.05</f>
        <v>35.1</v>
      </c>
      <c r="N25" s="74">
        <f>(J25*'Labor Data'!$K$10)+(K25*'Labor Data'!$K$9)+(L25*'Labor Data'!$K$11)+(M25*'Labor Data'!$K$8)</f>
        <v>66659.638500000001</v>
      </c>
      <c r="O25" s="74">
        <f>D25*F25*I25</f>
        <v>0</v>
      </c>
      <c r="P25" s="82">
        <f>F25*I25</f>
        <v>26</v>
      </c>
      <c r="Q25" s="136"/>
      <c r="R25" s="80" t="s">
        <v>1160</v>
      </c>
      <c r="S25" s="87"/>
    </row>
    <row r="26" spans="2:19" s="73" customFormat="1" ht="9" x14ac:dyDescent="0.15">
      <c r="B26" s="86" t="s">
        <v>74</v>
      </c>
      <c r="C26" s="81"/>
      <c r="D26" s="74"/>
      <c r="E26" s="74"/>
      <c r="F26" s="81"/>
      <c r="G26" s="81"/>
      <c r="H26" s="81"/>
      <c r="I26" s="83"/>
      <c r="J26" s="82">
        <f t="shared" ref="J26:N26" si="6">SUM(J7:J25)</f>
        <v>16262.821103941724</v>
      </c>
      <c r="K26" s="82">
        <f t="shared" si="6"/>
        <v>934</v>
      </c>
      <c r="L26" s="82">
        <f t="shared" si="6"/>
        <v>93.4</v>
      </c>
      <c r="M26" s="82">
        <f t="shared" si="6"/>
        <v>46.7</v>
      </c>
      <c r="N26" s="74">
        <f t="shared" si="6"/>
        <v>899456.28781591088</v>
      </c>
      <c r="O26" s="74">
        <f>SUM(O7:O25)</f>
        <v>146002.25613241873</v>
      </c>
      <c r="P26" s="82">
        <f>SUM(P15:P25)+P9</f>
        <v>35.1</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26</v>
      </c>
      <c r="J33" s="82">
        <v>0</v>
      </c>
      <c r="K33" s="82">
        <f>H33*I33</f>
        <v>1560</v>
      </c>
      <c r="L33" s="82">
        <f>K33*0.1</f>
        <v>156</v>
      </c>
      <c r="M33" s="82">
        <f>K33*0.05</f>
        <v>78</v>
      </c>
      <c r="N33" s="74">
        <f>(J33*'Labor Data'!$K$10)+(K33*'Labor Data'!$K$9)+(L33*'Labor Data'!$K$11)+(M33*'Labor Data'!$K$8)</f>
        <v>148132.53</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26</v>
      </c>
      <c r="J34" s="82">
        <v>0</v>
      </c>
      <c r="K34" s="82">
        <f>H34*I34</f>
        <v>3432</v>
      </c>
      <c r="L34" s="82">
        <f>K34*0.1</f>
        <v>343.20000000000005</v>
      </c>
      <c r="M34" s="82">
        <f>K34*0.05</f>
        <v>171.60000000000002</v>
      </c>
      <c r="N34" s="74">
        <f>(J34*'Labor Data'!$K$10)+(K34*'Labor Data'!$K$9)+(L34*'Labor Data'!$K$11)+(M34*'Labor Data'!$K$8)</f>
        <v>325891.56600000005</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Respondants'!G5-I34</f>
        <v>19</v>
      </c>
      <c r="J35" s="82">
        <v>0</v>
      </c>
      <c r="K35" s="82">
        <f>H35*I35</f>
        <v>76</v>
      </c>
      <c r="L35" s="82">
        <f>K35*0.1</f>
        <v>7.6000000000000005</v>
      </c>
      <c r="M35" s="82">
        <f>K35*0.05</f>
        <v>3.8000000000000003</v>
      </c>
      <c r="N35" s="74">
        <f>(J35*'Labor Data'!$K$10)+(K35*'Labor Data'!$K$9)+(L35*'Labor Data'!$K$11)+(M35*'Labor Data'!$K$8)</f>
        <v>7216.7130000000016</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5068</v>
      </c>
      <c r="L38" s="76">
        <f t="shared" si="7"/>
        <v>506.80000000000007</v>
      </c>
      <c r="M38" s="76">
        <f t="shared" si="7"/>
        <v>253.40000000000003</v>
      </c>
      <c r="N38" s="77">
        <f t="shared" si="7"/>
        <v>481240.80900000001</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16262.821103941724</v>
      </c>
      <c r="K39" s="67">
        <f t="shared" si="8"/>
        <v>6002</v>
      </c>
      <c r="L39" s="67">
        <f t="shared" si="8"/>
        <v>600.20000000000005</v>
      </c>
      <c r="M39" s="67">
        <f t="shared" si="8"/>
        <v>300.10000000000002</v>
      </c>
      <c r="N39" s="68">
        <f t="shared" si="8"/>
        <v>1380697.0968159109</v>
      </c>
      <c r="O39" s="68">
        <f>O26+O38</f>
        <v>146002.25613241873</v>
      </c>
      <c r="P39" s="67">
        <f>P26+P38</f>
        <v>35.1</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62" customFormat="1" ht="9" customHeight="1" x14ac:dyDescent="0.15">
      <c r="A42" s="121" t="s">
        <v>75</v>
      </c>
      <c r="B42" s="359" t="s">
        <v>1257</v>
      </c>
    </row>
    <row r="43" spans="1:19" s="62" customFormat="1" ht="19.5" customHeight="1" x14ac:dyDescent="0.15">
      <c r="A43" s="121" t="s">
        <v>97</v>
      </c>
      <c r="B43" s="494" t="s">
        <v>1232</v>
      </c>
      <c r="C43" s="494"/>
      <c r="D43" s="494"/>
      <c r="E43" s="494"/>
      <c r="F43" s="494"/>
      <c r="G43" s="494"/>
      <c r="H43" s="494"/>
      <c r="I43" s="494"/>
      <c r="J43" s="494"/>
      <c r="K43" s="494"/>
      <c r="L43" s="494"/>
      <c r="M43" s="494"/>
      <c r="N43" s="494"/>
      <c r="O43" s="494"/>
      <c r="P43" s="494"/>
      <c r="Q43" s="494"/>
      <c r="R43" s="494"/>
    </row>
    <row r="44" spans="1:19" s="62" customFormat="1" ht="9" customHeight="1" x14ac:dyDescent="0.15">
      <c r="A44" s="121" t="s">
        <v>65</v>
      </c>
      <c r="B44" s="116" t="s">
        <v>842</v>
      </c>
    </row>
    <row r="45" spans="1:19" s="62" customFormat="1" ht="9" x14ac:dyDescent="0.15">
      <c r="A45" s="121" t="s">
        <v>98</v>
      </c>
      <c r="B45" s="116" t="s">
        <v>1229</v>
      </c>
      <c r="C45" s="463"/>
      <c r="D45" s="463"/>
      <c r="E45" s="463"/>
      <c r="F45" s="463"/>
      <c r="G45" s="463"/>
      <c r="H45" s="463"/>
      <c r="I45" s="463"/>
      <c r="J45" s="463"/>
      <c r="K45" s="463"/>
      <c r="L45" s="463"/>
      <c r="M45" s="463"/>
      <c r="N45" s="463"/>
      <c r="O45" s="463"/>
      <c r="P45" s="463"/>
      <c r="Q45" s="463"/>
      <c r="R45" s="463"/>
    </row>
    <row r="46" spans="1:19" s="62" customFormat="1" ht="32.25" customHeight="1" x14ac:dyDescent="0.15">
      <c r="A46" s="121" t="s">
        <v>67</v>
      </c>
      <c r="B46" s="494" t="s">
        <v>1265</v>
      </c>
      <c r="C46" s="494"/>
      <c r="D46" s="494"/>
      <c r="E46" s="494"/>
      <c r="F46" s="494"/>
      <c r="G46" s="494"/>
      <c r="H46" s="494"/>
      <c r="I46" s="494"/>
      <c r="J46" s="494"/>
      <c r="K46" s="494"/>
      <c r="L46" s="494"/>
      <c r="M46" s="494"/>
      <c r="N46" s="494"/>
      <c r="O46" s="494"/>
      <c r="P46" s="494"/>
      <c r="Q46" s="494"/>
      <c r="R46" s="494"/>
      <c r="S46" s="494"/>
    </row>
    <row r="47" spans="1:19" s="62" customFormat="1" ht="9" x14ac:dyDescent="0.15">
      <c r="A47" s="121" t="s">
        <v>99</v>
      </c>
      <c r="B47" s="62" t="s">
        <v>1211</v>
      </c>
    </row>
    <row r="48" spans="1:19" s="62" customFormat="1" ht="39" customHeight="1" x14ac:dyDescent="0.15">
      <c r="A48" s="121" t="s">
        <v>100</v>
      </c>
      <c r="B48" s="494" t="s">
        <v>1275</v>
      </c>
      <c r="C48" s="494"/>
      <c r="D48" s="494"/>
      <c r="E48" s="494"/>
      <c r="F48" s="494"/>
      <c r="G48" s="494"/>
      <c r="H48" s="494"/>
      <c r="I48" s="494"/>
      <c r="J48" s="494"/>
      <c r="K48" s="494"/>
      <c r="L48" s="494"/>
      <c r="M48" s="494"/>
      <c r="N48" s="494"/>
      <c r="O48" s="494"/>
      <c r="P48" s="494"/>
      <c r="Q48" s="494"/>
      <c r="R48" s="494"/>
      <c r="S48" s="494"/>
    </row>
    <row r="49" spans="1:18" s="62" customFormat="1" ht="9" x14ac:dyDescent="0.15">
      <c r="A49" s="121" t="s">
        <v>101</v>
      </c>
      <c r="B49" s="494" t="s">
        <v>1222</v>
      </c>
      <c r="C49" s="494"/>
      <c r="D49" s="494"/>
      <c r="E49" s="494"/>
      <c r="F49" s="494"/>
      <c r="G49" s="494"/>
      <c r="H49" s="494"/>
      <c r="I49" s="494"/>
      <c r="J49" s="494"/>
      <c r="K49" s="494"/>
      <c r="L49" s="494"/>
      <c r="M49" s="494"/>
      <c r="N49" s="494"/>
      <c r="O49" s="494"/>
      <c r="P49" s="494"/>
      <c r="Q49" s="494"/>
      <c r="R49" s="494"/>
    </row>
    <row r="50" spans="1:18" s="62" customFormat="1" ht="9" customHeight="1" x14ac:dyDescent="0.15">
      <c r="A50" s="121" t="s">
        <v>102</v>
      </c>
      <c r="B50" s="366" t="s">
        <v>1224</v>
      </c>
      <c r="C50" s="123"/>
      <c r="D50" s="123"/>
      <c r="E50" s="123"/>
      <c r="F50" s="123"/>
      <c r="G50" s="123"/>
      <c r="H50" s="123"/>
      <c r="I50" s="123"/>
      <c r="J50" s="123"/>
      <c r="K50" s="123"/>
      <c r="L50" s="123"/>
      <c r="M50" s="123"/>
      <c r="P50" s="61"/>
      <c r="Q50" s="61"/>
      <c r="R50" s="63"/>
    </row>
    <row r="51" spans="1:18" s="62" customFormat="1" ht="10.5" customHeight="1" x14ac:dyDescent="0.15">
      <c r="A51" s="121" t="s">
        <v>103</v>
      </c>
      <c r="B51" s="62" t="s">
        <v>1200</v>
      </c>
      <c r="C51" s="63"/>
      <c r="D51" s="63"/>
      <c r="E51" s="63"/>
      <c r="F51" s="63"/>
      <c r="G51" s="63"/>
      <c r="H51" s="63"/>
      <c r="I51" s="64"/>
      <c r="J51" s="63"/>
      <c r="K51" s="63"/>
      <c r="L51" s="63"/>
      <c r="M51" s="63"/>
      <c r="P51" s="61"/>
      <c r="Q51" s="61"/>
      <c r="R51" s="63"/>
    </row>
    <row r="52" spans="1:18" s="62" customFormat="1" ht="9" customHeight="1" x14ac:dyDescent="0.15">
      <c r="A52" s="121" t="s">
        <v>63</v>
      </c>
      <c r="B52" s="360" t="s">
        <v>1266</v>
      </c>
      <c r="C52" s="63"/>
      <c r="D52" s="63"/>
      <c r="E52" s="63"/>
      <c r="F52" s="63"/>
      <c r="G52" s="63"/>
      <c r="H52" s="63"/>
      <c r="I52" s="64"/>
      <c r="J52" s="63"/>
      <c r="K52" s="63"/>
      <c r="L52" s="63"/>
      <c r="M52" s="63"/>
      <c r="P52" s="61"/>
      <c r="Q52" s="61"/>
      <c r="R52" s="63"/>
    </row>
    <row r="53" spans="1:18" s="62" customFormat="1" ht="9" x14ac:dyDescent="0.15">
      <c r="A53" s="121" t="s">
        <v>104</v>
      </c>
      <c r="B53" s="116" t="s">
        <v>108</v>
      </c>
      <c r="C53" s="63"/>
      <c r="D53" s="63"/>
      <c r="E53" s="63"/>
      <c r="F53" s="63"/>
      <c r="G53" s="63"/>
      <c r="H53" s="63"/>
      <c r="I53" s="64"/>
      <c r="J53" s="63"/>
      <c r="K53" s="63"/>
      <c r="L53" s="63"/>
      <c r="M53" s="63"/>
      <c r="P53" s="61"/>
      <c r="Q53" s="61"/>
      <c r="R53" s="63"/>
    </row>
    <row r="54" spans="1:18" s="62" customFormat="1" ht="9" x14ac:dyDescent="0.15">
      <c r="A54" s="121" t="s">
        <v>105</v>
      </c>
      <c r="B54" s="62" t="s">
        <v>841</v>
      </c>
      <c r="P54" s="61"/>
      <c r="Q54" s="61"/>
      <c r="R54" s="63"/>
    </row>
    <row r="55" spans="1:18" s="62" customFormat="1" ht="9" x14ac:dyDescent="0.15">
      <c r="A55" s="121" t="s">
        <v>107</v>
      </c>
      <c r="B55" s="62" t="s">
        <v>1158</v>
      </c>
      <c r="P55" s="61"/>
      <c r="Q55" s="61"/>
      <c r="R55" s="63"/>
    </row>
    <row r="56" spans="1:18" s="62" customFormat="1" ht="21" customHeight="1" x14ac:dyDescent="0.15">
      <c r="A56" s="358" t="s">
        <v>1160</v>
      </c>
      <c r="B56" s="494" t="s">
        <v>1270</v>
      </c>
      <c r="C56" s="494"/>
      <c r="D56" s="494"/>
      <c r="E56" s="494"/>
      <c r="F56" s="494"/>
      <c r="G56" s="494"/>
      <c r="H56" s="494"/>
      <c r="I56" s="494"/>
      <c r="J56" s="494"/>
      <c r="K56" s="494"/>
      <c r="L56" s="494"/>
      <c r="M56" s="494"/>
      <c r="N56" s="494"/>
      <c r="O56" s="494"/>
      <c r="P56" s="494"/>
      <c r="Q56" s="494"/>
      <c r="R56" s="494"/>
    </row>
    <row r="57" spans="1:18" s="62" customFormat="1" ht="24" customHeight="1" x14ac:dyDescent="0.15">
      <c r="A57" s="358" t="s">
        <v>1159</v>
      </c>
      <c r="B57" s="494" t="s">
        <v>1271</v>
      </c>
      <c r="C57" s="494"/>
      <c r="D57" s="494"/>
      <c r="E57" s="494"/>
      <c r="F57" s="494"/>
      <c r="G57" s="494"/>
      <c r="H57" s="494"/>
      <c r="I57" s="494"/>
      <c r="J57" s="494"/>
      <c r="K57" s="494"/>
      <c r="L57" s="494"/>
      <c r="M57" s="494"/>
      <c r="N57" s="494"/>
      <c r="O57" s="494"/>
      <c r="P57" s="494"/>
      <c r="Q57" s="494"/>
      <c r="R57" s="494"/>
    </row>
    <row r="58" spans="1:18" s="62" customFormat="1" ht="9" x14ac:dyDescent="0.15">
      <c r="A58" s="358" t="s">
        <v>1262</v>
      </c>
      <c r="B58" s="116" t="s">
        <v>1300</v>
      </c>
      <c r="C58" s="463"/>
      <c r="D58" s="463"/>
      <c r="E58" s="463"/>
      <c r="F58" s="463"/>
      <c r="G58" s="463"/>
      <c r="H58" s="463"/>
      <c r="I58" s="463"/>
      <c r="J58" s="463"/>
      <c r="K58" s="463"/>
      <c r="L58" s="463"/>
      <c r="M58" s="463"/>
      <c r="N58" s="463"/>
      <c r="O58" s="463"/>
      <c r="P58" s="463"/>
      <c r="Q58" s="463"/>
    </row>
    <row r="59" spans="1:18" s="62" customFormat="1" ht="9" x14ac:dyDescent="0.15">
      <c r="R59" s="63"/>
    </row>
    <row r="60" spans="1:18" s="62" customFormat="1" ht="9" x14ac:dyDescent="0.15">
      <c r="C60" s="63"/>
      <c r="D60" s="63"/>
      <c r="E60" s="63"/>
      <c r="F60" s="63"/>
      <c r="G60" s="63"/>
      <c r="H60" s="63"/>
      <c r="I60" s="64"/>
      <c r="J60" s="63"/>
      <c r="K60" s="63"/>
      <c r="L60" s="63"/>
      <c r="M60" s="63"/>
      <c r="N60" s="63"/>
      <c r="O60" s="61"/>
      <c r="P60" s="61"/>
      <c r="Q60" s="61"/>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x14ac:dyDescent="0.2">
      <c r="C76" s="63"/>
      <c r="D76" s="63"/>
      <c r="E76" s="63"/>
      <c r="F76" s="63"/>
      <c r="G76" s="63"/>
      <c r="H76" s="63"/>
      <c r="I76" s="64"/>
      <c r="J76" s="63"/>
      <c r="K76" s="63"/>
      <c r="L76" s="63"/>
      <c r="M76" s="63"/>
      <c r="N76" s="63"/>
      <c r="O76" s="61"/>
      <c r="P76" s="61"/>
      <c r="Q76" s="61"/>
      <c r="R76" s="58"/>
    </row>
    <row r="77" spans="3:18" s="62" customFormat="1" x14ac:dyDescent="0.2">
      <c r="C77" s="63"/>
      <c r="D77" s="63"/>
      <c r="E77" s="63"/>
      <c r="F77" s="63"/>
      <c r="G77" s="58"/>
      <c r="H77" s="63"/>
      <c r="I77" s="64"/>
      <c r="J77" s="58"/>
      <c r="K77" s="63"/>
      <c r="L77" s="63"/>
      <c r="M77" s="63"/>
      <c r="N77" s="63"/>
      <c r="O77" s="61"/>
      <c r="P77" s="61"/>
      <c r="Q77" s="61"/>
      <c r="R77" s="58"/>
    </row>
    <row r="78" spans="3:18" x14ac:dyDescent="0.2">
      <c r="P78" s="61"/>
      <c r="Q78" s="61"/>
    </row>
    <row r="79" spans="3:18" x14ac:dyDescent="0.2">
      <c r="P79" s="61"/>
      <c r="Q79" s="61"/>
    </row>
  </sheetData>
  <mergeCells count="20">
    <mergeCell ref="B46:S46"/>
    <mergeCell ref="B57:R57"/>
    <mergeCell ref="B56:R56"/>
    <mergeCell ref="C4:D4"/>
    <mergeCell ref="B1:R1"/>
    <mergeCell ref="B2:R2"/>
    <mergeCell ref="B49:R49"/>
    <mergeCell ref="B43:R43"/>
    <mergeCell ref="C5:D5"/>
    <mergeCell ref="C12:D12"/>
    <mergeCell ref="C13:D13"/>
    <mergeCell ref="C23:D23"/>
    <mergeCell ref="C24:D24"/>
    <mergeCell ref="C28:D28"/>
    <mergeCell ref="C29:D29"/>
    <mergeCell ref="C30:D30"/>
    <mergeCell ref="C31:D31"/>
    <mergeCell ref="C36:D36"/>
    <mergeCell ref="C37:D37"/>
    <mergeCell ref="B48:S48"/>
  </mergeCells>
  <pageMargins left="0.25" right="0.25" top="0.5" bottom="0.5" header="0.5" footer="0.5"/>
  <pageSetup scale="6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8"/>
  <sheetViews>
    <sheetView zoomScale="145" zoomScaleNormal="145" workbookViewId="0">
      <pane xSplit="9" ySplit="2" topLeftCell="J9" activePane="bottomRight" state="frozen"/>
      <selection activeCell="A4" sqref="A4:XFD4"/>
      <selection pane="topRight" activeCell="A4" sqref="A4:XFD4"/>
      <selection pane="bottomLeft" activeCell="A4" sqref="A4:XFD4"/>
      <selection pane="bottomRight" activeCell="D18" sqref="D18"/>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0" x14ac:dyDescent="0.2">
      <c r="B1" s="493" t="s">
        <v>1240</v>
      </c>
      <c r="C1" s="493"/>
      <c r="D1" s="493"/>
      <c r="E1" s="493"/>
      <c r="F1" s="493"/>
      <c r="G1" s="493"/>
      <c r="H1" s="493"/>
      <c r="I1" s="493"/>
      <c r="J1" s="493"/>
      <c r="K1" s="493"/>
      <c r="L1" s="493"/>
      <c r="M1" s="493"/>
      <c r="N1" s="493"/>
      <c r="O1" s="493"/>
      <c r="P1" s="493"/>
      <c r="Q1" s="493"/>
      <c r="R1" s="493"/>
    </row>
    <row r="2" spans="2:20" x14ac:dyDescent="0.2">
      <c r="B2" s="495" t="s">
        <v>1189</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Respondants'!H3</f>
        <v>7</v>
      </c>
      <c r="J7" s="82">
        <v>0</v>
      </c>
      <c r="K7" s="82">
        <f>H7*I7</f>
        <v>280</v>
      </c>
      <c r="L7" s="82">
        <f>K7*0.1</f>
        <v>28</v>
      </c>
      <c r="M7" s="83">
        <f>K7*0.05</f>
        <v>14</v>
      </c>
      <c r="N7" s="74">
        <f>(J7*'Labor Data'!$K$10)+(K7*'Labor Data'!$K$9)+(L7*'Labor Data'!$K$11)+(M7*'Labor Data'!$K$8)</f>
        <v>26587.890000000003</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c r="T8" s="88"/>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Respondants'!H12</f>
        <v>2</v>
      </c>
      <c r="J9" s="82">
        <v>0</v>
      </c>
      <c r="K9" s="82">
        <f>H9*I9</f>
        <v>24</v>
      </c>
      <c r="L9" s="82">
        <f>K9*0.1</f>
        <v>2.4000000000000004</v>
      </c>
      <c r="M9" s="82">
        <f>K9*0.05</f>
        <v>1.2000000000000002</v>
      </c>
      <c r="N9" s="74">
        <f>(J9*'Labor Data'!$K$10)+(K9*'Labor Data'!$K$9)+(L9*'Labor Data'!$K$11)+(M9*'Labor Data'!$K$8)</f>
        <v>2278.9620000000004</v>
      </c>
      <c r="O9" s="426">
        <f>'1.B-Priv'!O9+(D9+E9)*F9*I9</f>
        <v>232725.43978890061</v>
      </c>
      <c r="P9" s="82">
        <f>F9*I9</f>
        <v>2</v>
      </c>
      <c r="Q9" s="136">
        <f>'Other Cost Basis'!B2+'Other Cost Basis'!B17+'Other Cost Basis'!B18+'Other Cost Basis'!B19</f>
        <v>18067</v>
      </c>
      <c r="R9" s="80" t="s">
        <v>106</v>
      </c>
      <c r="T9" s="88"/>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Respondants'!H6</f>
        <v>78</v>
      </c>
      <c r="J10" s="82">
        <f>G10*I10</f>
        <v>11348.463311825173</v>
      </c>
      <c r="K10" s="82">
        <v>0</v>
      </c>
      <c r="L10" s="82">
        <v>0</v>
      </c>
      <c r="M10" s="82">
        <v>0</v>
      </c>
      <c r="N10" s="74">
        <f>(J10*'Labor Data'!$K$10)+(K10*'Labor Data'!$K$9)+(L10*'Labor Data'!$K$11)+(M10*'Labor Data'!$K$8)</f>
        <v>565766.28994773212</v>
      </c>
      <c r="O10" s="74">
        <f>D10*F10*I10</f>
        <v>141492</v>
      </c>
      <c r="P10" s="82">
        <v>0</v>
      </c>
      <c r="Q10" s="136"/>
      <c r="R10" s="80" t="s">
        <v>1210</v>
      </c>
      <c r="T10" s="88"/>
    </row>
    <row r="11" spans="2:20" s="73" customFormat="1" ht="9" x14ac:dyDescent="0.15">
      <c r="B11" s="130" t="s">
        <v>1253</v>
      </c>
      <c r="C11" s="468">
        <f>ROUND(2000/49.85,0)</f>
        <v>40</v>
      </c>
      <c r="D11" s="469">
        <f>'Other Cost Basis'!F15</f>
        <v>17</v>
      </c>
      <c r="E11" s="469"/>
      <c r="F11" s="81">
        <v>12</v>
      </c>
      <c r="G11" s="119">
        <f>C11*F11</f>
        <v>480</v>
      </c>
      <c r="H11" s="81">
        <v>0</v>
      </c>
      <c r="I11" s="83">
        <f>I10</f>
        <v>78</v>
      </c>
      <c r="J11" s="82">
        <f>G11*I11</f>
        <v>37440</v>
      </c>
      <c r="K11" s="82">
        <v>0</v>
      </c>
      <c r="L11" s="82">
        <v>0</v>
      </c>
      <c r="M11" s="82">
        <v>0</v>
      </c>
      <c r="N11" s="74">
        <f>(J11*'Labor Data'!$K$10)+(K11*'Labor Data'!$K$9)+(L11*'Labor Data'!$K$11)+(M11*'Labor Data'!$K$8)</f>
        <v>1866533.76</v>
      </c>
      <c r="O11" s="74">
        <f>D11*F11*I11</f>
        <v>15912</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c r="T12" s="88"/>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Respondants'!H4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Respondants'!H8</f>
        <v>11.5</v>
      </c>
      <c r="J17" s="82">
        <v>0</v>
      </c>
      <c r="K17" s="82">
        <f t="shared" si="1"/>
        <v>92</v>
      </c>
      <c r="L17" s="82">
        <f t="shared" si="2"/>
        <v>9.2000000000000011</v>
      </c>
      <c r="M17" s="82">
        <f t="shared" si="3"/>
        <v>4.6000000000000005</v>
      </c>
      <c r="N17" s="74">
        <f>(J17*'Labor Data'!$K$10)+(K17*'Labor Data'!$K$9)+(L17*'Labor Data'!$K$11)+(M17*'Labor Data'!$K$8)</f>
        <v>8736.0210000000025</v>
      </c>
      <c r="O17" s="74">
        <f t="shared" si="4"/>
        <v>0</v>
      </c>
      <c r="P17" s="82">
        <f t="shared" si="5"/>
        <v>11.5</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2">
        <f>IF('Annual # of Respondants'!H9&lt;0,0,'Annual # of Respondants'!H9)</f>
        <v>2.5</v>
      </c>
      <c r="J18" s="82">
        <v>0</v>
      </c>
      <c r="K18" s="82">
        <f t="shared" si="1"/>
        <v>30</v>
      </c>
      <c r="L18" s="82">
        <f t="shared" si="2"/>
        <v>3</v>
      </c>
      <c r="M18" s="82">
        <f t="shared" si="3"/>
        <v>1.5</v>
      </c>
      <c r="N18" s="74">
        <f>(J18*'Labor Data'!$K$10)+(K18*'Labor Data'!$K$9)+(L18*'Labor Data'!$K$11)+(M18*'Labor Data'!$K$8)</f>
        <v>2848.7024999999999</v>
      </c>
      <c r="O18" s="74">
        <f>'1.B-Priv'!O18+D18*F18*I18</f>
        <v>28235.347640825086</v>
      </c>
      <c r="P18" s="82">
        <f t="shared" si="5"/>
        <v>2.5</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D19*F19*I19</f>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I$9</f>
        <v>2</v>
      </c>
      <c r="J21" s="82">
        <v>0</v>
      </c>
      <c r="K21" s="82">
        <f t="shared" si="1"/>
        <v>160</v>
      </c>
      <c r="L21" s="82">
        <f t="shared" si="2"/>
        <v>16</v>
      </c>
      <c r="M21" s="82">
        <f t="shared" si="3"/>
        <v>8</v>
      </c>
      <c r="N21" s="74">
        <f>(J21*'Labor Data'!$K$10)+(K21*'Labor Data'!$K$9)+(L21*'Labor Data'!$K$11)+(M21*'Labor Data'!$K$8)</f>
        <v>15193.080000000002</v>
      </c>
      <c r="O21" s="74">
        <f t="shared" si="4"/>
        <v>0</v>
      </c>
      <c r="P21" s="82">
        <f t="shared" si="5"/>
        <v>2</v>
      </c>
      <c r="Q21" s="136"/>
      <c r="R21" s="80" t="s">
        <v>99</v>
      </c>
      <c r="S21" s="87"/>
    </row>
    <row r="22" spans="2:19" s="73" customFormat="1" ht="9" x14ac:dyDescent="0.15">
      <c r="B22" s="127" t="s">
        <v>1169</v>
      </c>
      <c r="C22" s="466">
        <v>20</v>
      </c>
      <c r="D22" s="74">
        <v>0</v>
      </c>
      <c r="E22" s="74"/>
      <c r="F22" s="81">
        <v>1</v>
      </c>
      <c r="G22" s="81">
        <v>0</v>
      </c>
      <c r="H22" s="81">
        <f t="shared" si="0"/>
        <v>20</v>
      </c>
      <c r="I22" s="83">
        <f>I21*0.1</f>
        <v>0.2</v>
      </c>
      <c r="J22" s="82">
        <v>0</v>
      </c>
      <c r="K22" s="82">
        <f t="shared" si="1"/>
        <v>4</v>
      </c>
      <c r="L22" s="82">
        <f t="shared" si="2"/>
        <v>0.4</v>
      </c>
      <c r="M22" s="82">
        <f t="shared" si="3"/>
        <v>0.2</v>
      </c>
      <c r="N22" s="74">
        <f>(J22*'Labor Data'!$K$10)+(K22*'Labor Data'!$K$9)+(L22*'Labor Data'!$K$11)+(M22*'Labor Data'!$K$8)</f>
        <v>379.827</v>
      </c>
      <c r="O22" s="74">
        <f t="shared" si="4"/>
        <v>0</v>
      </c>
      <c r="P22" s="82">
        <f t="shared" si="5"/>
        <v>0.2</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'Annual # of Respondants'!H6</f>
        <v>78</v>
      </c>
      <c r="J25" s="82">
        <v>0</v>
      </c>
      <c r="K25" s="82">
        <f>H25*I25</f>
        <v>2106</v>
      </c>
      <c r="L25" s="82">
        <f>K25*0.1</f>
        <v>210.60000000000002</v>
      </c>
      <c r="M25" s="82">
        <f>K25*0.05</f>
        <v>105.30000000000001</v>
      </c>
      <c r="N25" s="74">
        <f>(J25*'Labor Data'!$K$10)+(K25*'Labor Data'!$K$9)+(L25*'Labor Data'!$K$11)+(M25*'Labor Data'!$K$8)</f>
        <v>199978.9155</v>
      </c>
      <c r="O25" s="74">
        <f>D25*F25*I25</f>
        <v>0</v>
      </c>
      <c r="P25" s="82">
        <f>F25*I25</f>
        <v>78</v>
      </c>
      <c r="Q25" s="136"/>
      <c r="R25" s="80" t="s">
        <v>1160</v>
      </c>
      <c r="S25" s="87"/>
    </row>
    <row r="26" spans="2:19" s="73" customFormat="1" ht="9" x14ac:dyDescent="0.15">
      <c r="B26" s="86" t="s">
        <v>74</v>
      </c>
      <c r="C26" s="81"/>
      <c r="D26" s="74"/>
      <c r="E26" s="74"/>
      <c r="F26" s="81"/>
      <c r="G26" s="81"/>
      <c r="H26" s="81"/>
      <c r="I26" s="83"/>
      <c r="J26" s="82">
        <f t="shared" ref="J26:O26" si="6">SUM(J7:J25)</f>
        <v>48788.463311825173</v>
      </c>
      <c r="K26" s="82">
        <f t="shared" si="6"/>
        <v>2696</v>
      </c>
      <c r="L26" s="82">
        <f t="shared" si="6"/>
        <v>269.60000000000002</v>
      </c>
      <c r="M26" s="82">
        <f t="shared" si="6"/>
        <v>134.80000000000001</v>
      </c>
      <c r="N26" s="74">
        <f t="shared" si="6"/>
        <v>2688303.4479477326</v>
      </c>
      <c r="O26" s="74">
        <f t="shared" si="6"/>
        <v>418364.78742972569</v>
      </c>
      <c r="P26" s="82">
        <f>SUM(P15:P25)+P9</f>
        <v>96.2</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78</v>
      </c>
      <c r="J33" s="82">
        <v>0</v>
      </c>
      <c r="K33" s="82">
        <f>H33*I33</f>
        <v>4680</v>
      </c>
      <c r="L33" s="82">
        <f>K33*0.1</f>
        <v>468</v>
      </c>
      <c r="M33" s="82">
        <f>K33*0.05</f>
        <v>234</v>
      </c>
      <c r="N33" s="74">
        <f>(J33*'Labor Data'!$K$10)+(K33*'Labor Data'!$K$9)+(L33*'Labor Data'!$K$11)+(M33*'Labor Data'!$K$8)</f>
        <v>444397.59</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78</v>
      </c>
      <c r="J34" s="82">
        <v>0</v>
      </c>
      <c r="K34" s="82">
        <f>H34*I34</f>
        <v>10296</v>
      </c>
      <c r="L34" s="82">
        <f>K34*0.1</f>
        <v>1029.6000000000001</v>
      </c>
      <c r="M34" s="82">
        <f>K34*0.05</f>
        <v>514.80000000000007</v>
      </c>
      <c r="N34" s="74">
        <f>(J34*'Labor Data'!$K$10)+(K34*'Labor Data'!$K$9)+(L34*'Labor Data'!$K$11)+(M34*'Labor Data'!$K$8)</f>
        <v>977674.69800000009</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Respondants'!H5-I34</f>
        <v>24</v>
      </c>
      <c r="J35" s="82">
        <v>0</v>
      </c>
      <c r="K35" s="82">
        <f>H35*I35</f>
        <v>96</v>
      </c>
      <c r="L35" s="82">
        <f>K35*0.1</f>
        <v>9.6000000000000014</v>
      </c>
      <c r="M35" s="82">
        <f>K35*0.05</f>
        <v>4.8000000000000007</v>
      </c>
      <c r="N35" s="74">
        <f>(J35*'Labor Data'!$K$10)+(K35*'Labor Data'!$K$9)+(L35*'Labor Data'!$K$11)+(M35*'Labor Data'!$K$8)</f>
        <v>9115.8480000000018</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15072</v>
      </c>
      <c r="L38" s="76">
        <f t="shared" si="7"/>
        <v>1507.2</v>
      </c>
      <c r="M38" s="76">
        <f t="shared" si="7"/>
        <v>753.6</v>
      </c>
      <c r="N38" s="77">
        <f t="shared" si="7"/>
        <v>1431188.1360000002</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48788.463311825173</v>
      </c>
      <c r="K39" s="67">
        <f t="shared" si="8"/>
        <v>17768</v>
      </c>
      <c r="L39" s="67">
        <f t="shared" si="8"/>
        <v>1776.8000000000002</v>
      </c>
      <c r="M39" s="67">
        <f t="shared" si="8"/>
        <v>888.40000000000009</v>
      </c>
      <c r="N39" s="68">
        <f t="shared" si="8"/>
        <v>4119491.583947733</v>
      </c>
      <c r="O39" s="68">
        <f>O26+O38</f>
        <v>418364.78742972569</v>
      </c>
      <c r="P39" s="67">
        <f t="shared" si="8"/>
        <v>96.2</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359" customFormat="1" ht="9" customHeight="1" x14ac:dyDescent="0.15">
      <c r="A42" s="358" t="s">
        <v>75</v>
      </c>
      <c r="B42" s="359" t="s">
        <v>1257</v>
      </c>
    </row>
    <row r="43" spans="1:19" s="359" customFormat="1" ht="19.5" customHeight="1" x14ac:dyDescent="0.15">
      <c r="A43" s="358" t="s">
        <v>97</v>
      </c>
      <c r="B43" s="494" t="s">
        <v>1232</v>
      </c>
      <c r="C43" s="494"/>
      <c r="D43" s="494"/>
      <c r="E43" s="494"/>
      <c r="F43" s="494"/>
      <c r="G43" s="494"/>
      <c r="H43" s="494"/>
      <c r="I43" s="494"/>
      <c r="J43" s="494"/>
      <c r="K43" s="494"/>
      <c r="L43" s="494"/>
      <c r="M43" s="494"/>
      <c r="N43" s="494"/>
      <c r="O43" s="494"/>
      <c r="P43" s="494"/>
      <c r="Q43" s="494"/>
      <c r="R43" s="494"/>
    </row>
    <row r="44" spans="1:19" s="359" customFormat="1" ht="9" customHeight="1" x14ac:dyDescent="0.15">
      <c r="A44" s="358" t="s">
        <v>65</v>
      </c>
      <c r="B44" s="360" t="s">
        <v>842</v>
      </c>
    </row>
    <row r="45" spans="1:19" s="359" customFormat="1" ht="9" x14ac:dyDescent="0.15">
      <c r="A45" s="358" t="s">
        <v>98</v>
      </c>
      <c r="B45" s="360" t="s">
        <v>1229</v>
      </c>
      <c r="C45" s="465"/>
      <c r="D45" s="465"/>
      <c r="E45" s="465"/>
      <c r="F45" s="465"/>
      <c r="G45" s="465"/>
      <c r="H45" s="465"/>
      <c r="I45" s="465"/>
      <c r="J45" s="465"/>
      <c r="K45" s="465"/>
      <c r="L45" s="465"/>
      <c r="M45" s="465"/>
      <c r="N45" s="465"/>
      <c r="O45" s="465"/>
      <c r="P45" s="465"/>
      <c r="Q45" s="465"/>
      <c r="R45" s="465"/>
    </row>
    <row r="46" spans="1:19" s="359" customFormat="1" ht="29.25" customHeight="1" x14ac:dyDescent="0.15">
      <c r="A46" s="358" t="s">
        <v>67</v>
      </c>
      <c r="B46" s="494" t="s">
        <v>1265</v>
      </c>
      <c r="C46" s="494"/>
      <c r="D46" s="494"/>
      <c r="E46" s="494"/>
      <c r="F46" s="494"/>
      <c r="G46" s="494"/>
      <c r="H46" s="494"/>
      <c r="I46" s="494"/>
      <c r="J46" s="494"/>
      <c r="K46" s="494"/>
      <c r="L46" s="494"/>
      <c r="M46" s="494"/>
      <c r="N46" s="494"/>
      <c r="O46" s="494"/>
      <c r="P46" s="494"/>
      <c r="Q46" s="494"/>
      <c r="R46" s="494"/>
      <c r="S46" s="494"/>
    </row>
    <row r="47" spans="1:19" s="359" customFormat="1" ht="9" x14ac:dyDescent="0.15">
      <c r="A47" s="358" t="s">
        <v>99</v>
      </c>
      <c r="B47" s="359" t="s">
        <v>1211</v>
      </c>
    </row>
    <row r="48" spans="1:19" s="359" customFormat="1" ht="39" customHeight="1" x14ac:dyDescent="0.15">
      <c r="A48" s="358" t="s">
        <v>100</v>
      </c>
      <c r="B48" s="494" t="s">
        <v>1275</v>
      </c>
      <c r="C48" s="494"/>
      <c r="D48" s="494"/>
      <c r="E48" s="494"/>
      <c r="F48" s="494"/>
      <c r="G48" s="494"/>
      <c r="H48" s="494"/>
      <c r="I48" s="494"/>
      <c r="J48" s="494"/>
      <c r="K48" s="494"/>
      <c r="L48" s="494"/>
      <c r="M48" s="494"/>
      <c r="N48" s="494"/>
      <c r="O48" s="494"/>
      <c r="P48" s="494"/>
      <c r="Q48" s="494"/>
      <c r="R48" s="494"/>
      <c r="S48" s="494"/>
    </row>
    <row r="49" spans="1:18" s="359" customFormat="1" ht="9" x14ac:dyDescent="0.15">
      <c r="A49" s="358" t="s">
        <v>101</v>
      </c>
      <c r="B49" s="494" t="s">
        <v>1222</v>
      </c>
      <c r="C49" s="494"/>
      <c r="D49" s="494"/>
      <c r="E49" s="494"/>
      <c r="F49" s="494"/>
      <c r="G49" s="494"/>
      <c r="H49" s="494"/>
      <c r="I49" s="494"/>
      <c r="J49" s="494"/>
      <c r="K49" s="494"/>
      <c r="L49" s="494"/>
      <c r="M49" s="494"/>
      <c r="N49" s="494"/>
      <c r="O49" s="494"/>
      <c r="P49" s="494"/>
      <c r="Q49" s="494"/>
      <c r="R49" s="494"/>
    </row>
    <row r="50" spans="1:18" s="359" customFormat="1" ht="9" customHeight="1" x14ac:dyDescent="0.15">
      <c r="A50" s="358" t="s">
        <v>102</v>
      </c>
      <c r="B50" s="362" t="s">
        <v>1224</v>
      </c>
      <c r="C50" s="361"/>
      <c r="D50" s="361"/>
      <c r="E50" s="361"/>
      <c r="F50" s="361"/>
      <c r="G50" s="361"/>
      <c r="H50" s="361"/>
      <c r="I50" s="361"/>
      <c r="J50" s="361"/>
      <c r="K50" s="361"/>
      <c r="L50" s="361"/>
      <c r="M50" s="361"/>
      <c r="P50" s="363"/>
      <c r="Q50" s="363"/>
      <c r="R50" s="364"/>
    </row>
    <row r="51" spans="1:18" s="359" customFormat="1" ht="10.5" customHeight="1" x14ac:dyDescent="0.15">
      <c r="A51" s="358" t="s">
        <v>103</v>
      </c>
      <c r="B51" s="359" t="s">
        <v>1200</v>
      </c>
      <c r="C51" s="364"/>
      <c r="D51" s="364"/>
      <c r="E51" s="364"/>
      <c r="F51" s="364"/>
      <c r="G51" s="364"/>
      <c r="H51" s="364"/>
      <c r="I51" s="365"/>
      <c r="J51" s="364"/>
      <c r="K51" s="364"/>
      <c r="L51" s="364"/>
      <c r="M51" s="364"/>
      <c r="P51" s="363"/>
      <c r="Q51" s="363"/>
      <c r="R51" s="364"/>
    </row>
    <row r="52" spans="1:18" s="359" customFormat="1" ht="9" customHeight="1" x14ac:dyDescent="0.15">
      <c r="A52" s="358" t="s">
        <v>63</v>
      </c>
      <c r="B52" s="360" t="s">
        <v>1266</v>
      </c>
      <c r="C52" s="364"/>
      <c r="D52" s="364"/>
      <c r="E52" s="364"/>
      <c r="F52" s="364"/>
      <c r="G52" s="364"/>
      <c r="H52" s="364"/>
      <c r="I52" s="365"/>
      <c r="J52" s="364"/>
      <c r="K52" s="364"/>
      <c r="L52" s="364"/>
      <c r="M52" s="364"/>
      <c r="P52" s="363"/>
      <c r="Q52" s="363"/>
      <c r="R52" s="364"/>
    </row>
    <row r="53" spans="1:18" s="359" customFormat="1" ht="9" x14ac:dyDescent="0.15">
      <c r="A53" s="358" t="s">
        <v>104</v>
      </c>
      <c r="B53" s="360" t="s">
        <v>108</v>
      </c>
      <c r="C53" s="364"/>
      <c r="D53" s="364"/>
      <c r="E53" s="364"/>
      <c r="F53" s="364"/>
      <c r="G53" s="364"/>
      <c r="H53" s="364"/>
      <c r="I53" s="365"/>
      <c r="J53" s="364"/>
      <c r="K53" s="364"/>
      <c r="L53" s="364"/>
      <c r="M53" s="364"/>
      <c r="P53" s="363"/>
      <c r="Q53" s="363"/>
      <c r="R53" s="364"/>
    </row>
    <row r="54" spans="1:18" s="359" customFormat="1" ht="9" x14ac:dyDescent="0.15">
      <c r="A54" s="358" t="s">
        <v>105</v>
      </c>
      <c r="B54" s="359" t="s">
        <v>841</v>
      </c>
      <c r="P54" s="363"/>
      <c r="Q54" s="363"/>
      <c r="R54" s="364"/>
    </row>
    <row r="55" spans="1:18" s="359" customFormat="1" ht="9" x14ac:dyDescent="0.15">
      <c r="A55" s="358" t="s">
        <v>107</v>
      </c>
      <c r="B55" s="359" t="s">
        <v>1158</v>
      </c>
      <c r="P55" s="363"/>
      <c r="Q55" s="363"/>
      <c r="R55" s="364"/>
    </row>
    <row r="56" spans="1:18" s="360" customFormat="1" ht="16.5" customHeight="1" x14ac:dyDescent="0.15">
      <c r="A56" s="470" t="s">
        <v>1160</v>
      </c>
      <c r="B56" s="494" t="s">
        <v>1270</v>
      </c>
      <c r="C56" s="494"/>
      <c r="D56" s="494"/>
      <c r="E56" s="494"/>
      <c r="F56" s="494"/>
      <c r="G56" s="494"/>
      <c r="H56" s="494"/>
      <c r="I56" s="494"/>
      <c r="J56" s="494"/>
      <c r="K56" s="494"/>
      <c r="L56" s="494"/>
      <c r="M56" s="494"/>
      <c r="N56" s="494"/>
      <c r="O56" s="494"/>
      <c r="P56" s="494"/>
      <c r="Q56" s="494"/>
      <c r="R56" s="494"/>
    </row>
    <row r="57" spans="1:18" s="360" customFormat="1" ht="16.5" customHeight="1" x14ac:dyDescent="0.15">
      <c r="A57" s="470" t="s">
        <v>1159</v>
      </c>
      <c r="B57" s="494" t="s">
        <v>1271</v>
      </c>
      <c r="C57" s="494"/>
      <c r="D57" s="494"/>
      <c r="E57" s="494"/>
      <c r="F57" s="494"/>
      <c r="G57" s="494"/>
      <c r="H57" s="494"/>
      <c r="I57" s="494"/>
      <c r="J57" s="494"/>
      <c r="K57" s="494"/>
      <c r="L57" s="494"/>
      <c r="M57" s="494"/>
      <c r="N57" s="494"/>
      <c r="O57" s="494"/>
      <c r="P57" s="494"/>
      <c r="Q57" s="494"/>
      <c r="R57" s="494"/>
    </row>
    <row r="58" spans="1:18" s="62" customFormat="1" ht="9" x14ac:dyDescent="0.15">
      <c r="A58" s="121" t="s">
        <v>1262</v>
      </c>
      <c r="B58" s="116" t="s">
        <v>1300</v>
      </c>
      <c r="R58" s="63"/>
    </row>
    <row r="59" spans="1:18" s="62" customFormat="1" ht="9" x14ac:dyDescent="0.15">
      <c r="C59" s="63"/>
      <c r="D59" s="63"/>
      <c r="E59" s="63"/>
      <c r="F59" s="63"/>
      <c r="G59" s="63"/>
      <c r="H59" s="63"/>
      <c r="I59" s="64"/>
      <c r="J59" s="63"/>
      <c r="K59" s="63"/>
      <c r="L59" s="63"/>
      <c r="M59" s="63"/>
      <c r="N59" s="63"/>
      <c r="O59" s="61"/>
      <c r="P59" s="61"/>
      <c r="Q59" s="61"/>
      <c r="R59" s="63"/>
    </row>
    <row r="60" spans="1:18" s="62" customFormat="1" ht="9" x14ac:dyDescent="0.15">
      <c r="C60" s="63"/>
      <c r="D60" s="63"/>
      <c r="E60" s="63"/>
      <c r="F60" s="63"/>
      <c r="G60" s="63"/>
      <c r="H60" s="63"/>
      <c r="I60" s="64"/>
      <c r="J60" s="63"/>
      <c r="K60" s="63"/>
      <c r="L60" s="63"/>
      <c r="M60" s="63"/>
      <c r="N60" s="63"/>
      <c r="O60" s="61"/>
      <c r="P60" s="61"/>
      <c r="Q60" s="61"/>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x14ac:dyDescent="0.2">
      <c r="C75" s="63"/>
      <c r="D75" s="63"/>
      <c r="E75" s="63"/>
      <c r="F75" s="63"/>
      <c r="G75" s="63"/>
      <c r="H75" s="63"/>
      <c r="I75" s="64"/>
      <c r="J75" s="63"/>
      <c r="K75" s="63"/>
      <c r="L75" s="63"/>
      <c r="M75" s="63"/>
      <c r="N75" s="63"/>
      <c r="O75" s="61"/>
      <c r="P75" s="61"/>
      <c r="Q75" s="61"/>
      <c r="R75" s="58"/>
    </row>
    <row r="76" spans="3:18" s="62" customFormat="1" x14ac:dyDescent="0.2">
      <c r="C76" s="63"/>
      <c r="D76" s="63"/>
      <c r="E76" s="63"/>
      <c r="F76" s="63"/>
      <c r="G76" s="58"/>
      <c r="H76" s="63"/>
      <c r="I76" s="64"/>
      <c r="J76" s="58"/>
      <c r="K76" s="63"/>
      <c r="L76" s="63"/>
      <c r="M76" s="63"/>
      <c r="N76" s="63"/>
      <c r="O76" s="61"/>
      <c r="P76" s="61"/>
      <c r="Q76" s="61"/>
      <c r="R76" s="58"/>
    </row>
    <row r="77" spans="3:18" x14ac:dyDescent="0.2">
      <c r="P77" s="61"/>
      <c r="Q77" s="61"/>
    </row>
    <row r="78" spans="3:18" x14ac:dyDescent="0.2">
      <c r="P78" s="61"/>
      <c r="Q78" s="61"/>
    </row>
  </sheetData>
  <mergeCells count="20">
    <mergeCell ref="B57:R57"/>
    <mergeCell ref="B56:R56"/>
    <mergeCell ref="B48:S48"/>
    <mergeCell ref="B46:S46"/>
    <mergeCell ref="B49:R49"/>
    <mergeCell ref="C4:D4"/>
    <mergeCell ref="B1:R1"/>
    <mergeCell ref="B2:R2"/>
    <mergeCell ref="B43:R43"/>
    <mergeCell ref="C5:D5"/>
    <mergeCell ref="C12:D12"/>
    <mergeCell ref="C13:D13"/>
    <mergeCell ref="C23:D23"/>
    <mergeCell ref="C24:D24"/>
    <mergeCell ref="C28:D28"/>
    <mergeCell ref="C29:D29"/>
    <mergeCell ref="C30:D30"/>
    <mergeCell ref="C31:D31"/>
    <mergeCell ref="C36:D36"/>
    <mergeCell ref="C37:D37"/>
  </mergeCells>
  <pageMargins left="0.25" right="0.25" top="0.5" bottom="0.5" header="0.5" footer="0.5"/>
  <pageSetup scale="6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0"/>
  <sheetViews>
    <sheetView zoomScale="115" zoomScaleNormal="115" workbookViewId="0">
      <pane xSplit="9" ySplit="2" topLeftCell="L3" activePane="bottomRight" state="frozen"/>
      <selection activeCell="E15" sqref="E15"/>
      <selection pane="topRight" activeCell="E15" sqref="E15"/>
      <selection pane="bottomLeft" activeCell="E15" sqref="E15"/>
      <selection pane="bottomRight" activeCell="E15" sqref="E15"/>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9.28515625" style="58" bestFit="1"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1" x14ac:dyDescent="0.2">
      <c r="B1" s="493" t="s">
        <v>851</v>
      </c>
      <c r="C1" s="493"/>
      <c r="D1" s="493"/>
      <c r="E1" s="493"/>
      <c r="F1" s="493"/>
      <c r="G1" s="493"/>
      <c r="H1" s="493"/>
      <c r="I1" s="493"/>
      <c r="J1" s="493"/>
      <c r="K1" s="493"/>
      <c r="L1" s="493"/>
      <c r="M1" s="493"/>
      <c r="N1" s="493"/>
      <c r="O1" s="493"/>
      <c r="P1" s="493"/>
      <c r="Q1" s="493"/>
      <c r="R1" s="493"/>
    </row>
    <row r="2" spans="2:21" x14ac:dyDescent="0.2">
      <c r="B2" s="495" t="s">
        <v>1177</v>
      </c>
      <c r="C2" s="495"/>
      <c r="D2" s="495"/>
      <c r="E2" s="495"/>
      <c r="F2" s="495"/>
      <c r="G2" s="495"/>
      <c r="H2" s="495"/>
      <c r="I2" s="495"/>
      <c r="J2" s="495"/>
      <c r="K2" s="495"/>
      <c r="L2" s="495"/>
      <c r="M2" s="495"/>
      <c r="N2" s="495"/>
      <c r="O2" s="495"/>
      <c r="P2" s="495"/>
      <c r="Q2" s="495"/>
      <c r="R2" s="495"/>
    </row>
    <row r="3" spans="2:21" s="94" customFormat="1" ht="66.75" customHeight="1" x14ac:dyDescent="0.15">
      <c r="B3" s="96" t="s">
        <v>88</v>
      </c>
      <c r="C3" s="96" t="s">
        <v>843</v>
      </c>
      <c r="D3" s="96" t="s">
        <v>1250</v>
      </c>
      <c r="E3" s="425" t="s">
        <v>1251</v>
      </c>
      <c r="F3" s="96" t="s">
        <v>836</v>
      </c>
      <c r="G3" s="96" t="s">
        <v>839</v>
      </c>
      <c r="H3" s="96" t="s">
        <v>837</v>
      </c>
      <c r="I3" s="124" t="s">
        <v>840</v>
      </c>
      <c r="J3" s="125" t="s">
        <v>1173</v>
      </c>
      <c r="K3" s="125" t="s">
        <v>1174</v>
      </c>
      <c r="L3" s="125" t="s">
        <v>1175</v>
      </c>
      <c r="M3" s="125" t="s">
        <v>1176</v>
      </c>
      <c r="N3" s="96" t="s">
        <v>838</v>
      </c>
      <c r="O3" s="401" t="s">
        <v>1252</v>
      </c>
      <c r="P3" s="125" t="s">
        <v>844</v>
      </c>
      <c r="Q3" s="125" t="s">
        <v>852</v>
      </c>
      <c r="R3" s="95" t="s">
        <v>87</v>
      </c>
      <c r="S3" s="94" t="s">
        <v>86</v>
      </c>
    </row>
    <row r="4" spans="2:21" s="73" customFormat="1" ht="9" x14ac:dyDescent="0.15">
      <c r="B4" s="93" t="s">
        <v>85</v>
      </c>
      <c r="C4" s="490" t="s">
        <v>61</v>
      </c>
      <c r="D4" s="491"/>
      <c r="E4" s="389"/>
      <c r="F4" s="91"/>
      <c r="G4" s="91"/>
      <c r="H4" s="91"/>
      <c r="I4" s="92"/>
      <c r="J4" s="92"/>
      <c r="K4" s="92"/>
      <c r="L4" s="92"/>
      <c r="M4" s="92"/>
      <c r="N4" s="90"/>
      <c r="O4" s="90"/>
      <c r="P4" s="90"/>
      <c r="Q4" s="134"/>
      <c r="R4" s="89"/>
    </row>
    <row r="5" spans="2:21" s="73" customFormat="1" ht="9" x14ac:dyDescent="0.15">
      <c r="B5" s="84" t="s">
        <v>84</v>
      </c>
      <c r="C5" s="496" t="s">
        <v>61</v>
      </c>
      <c r="D5" s="497"/>
      <c r="E5" s="388"/>
      <c r="F5" s="81"/>
      <c r="G5" s="81"/>
      <c r="H5" s="81"/>
      <c r="I5" s="82"/>
      <c r="J5" s="82"/>
      <c r="K5" s="82"/>
      <c r="L5" s="82"/>
      <c r="M5" s="82"/>
      <c r="N5" s="74"/>
      <c r="O5" s="74"/>
      <c r="P5" s="74"/>
      <c r="Q5" s="135"/>
      <c r="R5" s="80"/>
    </row>
    <row r="6" spans="2:21" s="73" customFormat="1" ht="9" x14ac:dyDescent="0.15">
      <c r="B6" s="84" t="s">
        <v>83</v>
      </c>
      <c r="C6" s="81"/>
      <c r="D6" s="74"/>
      <c r="E6" s="74"/>
      <c r="F6" s="81"/>
      <c r="G6" s="81"/>
      <c r="H6" s="81"/>
      <c r="I6" s="82"/>
      <c r="J6" s="82"/>
      <c r="K6" s="82"/>
      <c r="L6" s="82"/>
      <c r="M6" s="82"/>
      <c r="N6" s="74"/>
      <c r="O6" s="74"/>
      <c r="P6" s="74"/>
      <c r="Q6" s="135"/>
      <c r="R6" s="80"/>
    </row>
    <row r="7" spans="2:21" s="73" customFormat="1" ht="9" x14ac:dyDescent="0.15">
      <c r="B7" s="130" t="s">
        <v>82</v>
      </c>
      <c r="C7" s="81">
        <v>40</v>
      </c>
      <c r="D7" s="74">
        <v>0</v>
      </c>
      <c r="E7" s="74"/>
      <c r="F7" s="81">
        <v>1</v>
      </c>
      <c r="G7" s="81">
        <v>0</v>
      </c>
      <c r="H7" s="81">
        <f>C7*F7</f>
        <v>40</v>
      </c>
      <c r="I7" s="83">
        <f>'Annual # of Respondants'!I3</f>
        <v>0</v>
      </c>
      <c r="J7" s="82">
        <v>0</v>
      </c>
      <c r="K7" s="82">
        <f>H7*I7</f>
        <v>0</v>
      </c>
      <c r="L7" s="82">
        <f>K7*0.1</f>
        <v>0</v>
      </c>
      <c r="M7" s="83">
        <f>K7*0.05</f>
        <v>0</v>
      </c>
      <c r="N7" s="74">
        <f>(J7*'Labor Data'!$K$10)+(K7*'Labor Data'!$K$9)+(L7*'Labor Data'!$K$11)+(M7*'Labor Data'!$K$8)</f>
        <v>0</v>
      </c>
      <c r="O7" s="74">
        <f>D7*F7*I7</f>
        <v>0</v>
      </c>
      <c r="P7" s="82">
        <v>0</v>
      </c>
      <c r="Q7" s="136"/>
      <c r="R7" s="80" t="s">
        <v>98</v>
      </c>
      <c r="U7" s="73">
        <f>101+3+13</f>
        <v>117</v>
      </c>
    </row>
    <row r="8" spans="2:21" s="73" customFormat="1" ht="9" x14ac:dyDescent="0.15">
      <c r="B8" s="84" t="s">
        <v>81</v>
      </c>
      <c r="C8" s="81"/>
      <c r="D8" s="74"/>
      <c r="E8" s="74"/>
      <c r="F8" s="81"/>
      <c r="G8" s="81"/>
      <c r="H8" s="81"/>
      <c r="I8" s="82"/>
      <c r="J8" s="82"/>
      <c r="K8" s="82"/>
      <c r="L8" s="82"/>
      <c r="M8" s="82"/>
      <c r="N8" s="74"/>
      <c r="O8" s="74"/>
      <c r="P8" s="74"/>
      <c r="Q8" s="135"/>
      <c r="R8" s="80"/>
      <c r="T8" s="88"/>
      <c r="U8" s="73">
        <f>U7/3</f>
        <v>39</v>
      </c>
    </row>
    <row r="9" spans="2:21" s="73" customFormat="1" ht="9" x14ac:dyDescent="0.15">
      <c r="B9" s="130" t="s">
        <v>80</v>
      </c>
      <c r="C9" s="81">
        <v>12</v>
      </c>
      <c r="D9" s="399">
        <f>'Other Cost Basis'!D2+'Other Cost Basis'!D17+'Other Cost Basis'!D18+'Other Cost Basis'!D19</f>
        <v>1983.6594844730848</v>
      </c>
      <c r="E9" s="399">
        <f>'Other Cost Basis'!D20</f>
        <v>1000</v>
      </c>
      <c r="F9" s="81">
        <v>1</v>
      </c>
      <c r="G9" s="81">
        <v>0</v>
      </c>
      <c r="H9" s="81">
        <f>C9*F9</f>
        <v>12</v>
      </c>
      <c r="I9" s="83">
        <f>'Annual # of Respondants'!I12</f>
        <v>13</v>
      </c>
      <c r="J9" s="82">
        <v>0</v>
      </c>
      <c r="K9" s="82">
        <f>H9*I9</f>
        <v>156</v>
      </c>
      <c r="L9" s="82">
        <f>K9*0.1</f>
        <v>15.600000000000001</v>
      </c>
      <c r="M9" s="82">
        <f>K9*0.05</f>
        <v>7.8000000000000007</v>
      </c>
      <c r="N9" s="74">
        <f>(J9*'Labor Data'!$K$10)+(K9*'Labor Data'!$K$9)+(L9*'Labor Data'!$K$11)+(M9*'Labor Data'!$K$8)</f>
        <v>14813.253000000001</v>
      </c>
      <c r="O9" s="399">
        <f>'Respondent Yr2'!O9+(D9+E9)*F9*I9</f>
        <v>349088.15968335088</v>
      </c>
      <c r="P9" s="82">
        <f>F9*I9</f>
        <v>13</v>
      </c>
      <c r="Q9" s="400">
        <f>'Other Cost Basis'!B2+'Other Cost Basis'!B17+'Other Cost Basis'!B18+'Other Cost Basis'!B19</f>
        <v>18067</v>
      </c>
      <c r="R9" s="80" t="s">
        <v>106</v>
      </c>
      <c r="T9" s="88"/>
    </row>
    <row r="10" spans="2:21"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Respondants'!I6</f>
        <v>117</v>
      </c>
      <c r="J10" s="82">
        <f>G10*I10</f>
        <v>17022.69496773776</v>
      </c>
      <c r="K10" s="82">
        <v>0</v>
      </c>
      <c r="L10" s="82">
        <v>0</v>
      </c>
      <c r="M10" s="82">
        <v>0</v>
      </c>
      <c r="N10" s="74">
        <f>(J10*'Labor Data'!$K$10)+(K10*'Labor Data'!$K$9)+(L10*'Labor Data'!$K$11)+(M10*'Labor Data'!$K$8)</f>
        <v>848649.43492159829</v>
      </c>
      <c r="O10" s="74">
        <f>D10*F10*I10</f>
        <v>212238</v>
      </c>
      <c r="P10" s="82">
        <v>0</v>
      </c>
      <c r="Q10" s="136"/>
      <c r="R10" s="80" t="s">
        <v>1210</v>
      </c>
      <c r="T10" s="88"/>
    </row>
    <row r="11" spans="2:21" s="406" customFormat="1" ht="9" x14ac:dyDescent="0.15">
      <c r="B11" s="407" t="s">
        <v>1253</v>
      </c>
      <c r="C11" s="404">
        <f>ROUND(2000/49.85,0)</f>
        <v>40</v>
      </c>
      <c r="D11" s="405">
        <f>'Other Cost Basis'!F15</f>
        <v>17</v>
      </c>
      <c r="E11" s="405"/>
      <c r="F11" s="408">
        <v>12</v>
      </c>
      <c r="G11" s="409">
        <f>C11*F11</f>
        <v>480</v>
      </c>
      <c r="H11" s="408">
        <v>0</v>
      </c>
      <c r="I11" s="410">
        <f>I10</f>
        <v>117</v>
      </c>
      <c r="J11" s="411">
        <f>G11*I11</f>
        <v>56160</v>
      </c>
      <c r="K11" s="411">
        <v>0</v>
      </c>
      <c r="L11" s="411">
        <v>0</v>
      </c>
      <c r="M11" s="411">
        <v>0</v>
      </c>
      <c r="N11" s="399">
        <f>(J11*'Labor Data'!$K$10)+(K11*'Labor Data'!$K$9)+(L11*'Labor Data'!$K$11)+(M11*'Labor Data'!$K$8)</f>
        <v>2799800.64</v>
      </c>
      <c r="O11" s="399">
        <f>D11*F11*I11</f>
        <v>23868</v>
      </c>
      <c r="P11" s="411">
        <v>1</v>
      </c>
      <c r="Q11" s="400"/>
      <c r="R11" s="412" t="s">
        <v>1210</v>
      </c>
      <c r="T11" s="413"/>
    </row>
    <row r="12" spans="2:21" s="73" customFormat="1" ht="9" x14ac:dyDescent="0.15">
      <c r="B12" s="84" t="s">
        <v>78</v>
      </c>
      <c r="C12" s="496" t="s">
        <v>93</v>
      </c>
      <c r="D12" s="497"/>
      <c r="E12" s="388"/>
      <c r="F12" s="81"/>
      <c r="G12" s="81"/>
      <c r="H12" s="81"/>
      <c r="I12" s="82"/>
      <c r="J12" s="82"/>
      <c r="K12" s="82"/>
      <c r="L12" s="82"/>
      <c r="M12" s="82"/>
      <c r="N12" s="74"/>
      <c r="O12" s="74"/>
      <c r="P12" s="74"/>
      <c r="Q12" s="135"/>
      <c r="R12" s="80"/>
      <c r="T12" s="88"/>
    </row>
    <row r="13" spans="2:21" s="73" customFormat="1" ht="9" x14ac:dyDescent="0.15">
      <c r="B13" s="84" t="s">
        <v>77</v>
      </c>
      <c r="C13" s="496" t="s">
        <v>93</v>
      </c>
      <c r="D13" s="497"/>
      <c r="E13" s="388"/>
      <c r="F13" s="81"/>
      <c r="G13" s="81"/>
      <c r="H13" s="81"/>
      <c r="I13" s="82"/>
      <c r="J13" s="82"/>
      <c r="K13" s="82"/>
      <c r="L13" s="82"/>
      <c r="M13" s="82"/>
      <c r="N13" s="74"/>
      <c r="O13" s="74"/>
      <c r="P13" s="74"/>
      <c r="Q13" s="135"/>
      <c r="R13" s="80"/>
    </row>
    <row r="14" spans="2:21" s="73" customFormat="1" ht="9" x14ac:dyDescent="0.15">
      <c r="B14" s="84" t="s">
        <v>76</v>
      </c>
      <c r="C14" s="81"/>
      <c r="D14" s="74"/>
      <c r="E14" s="74"/>
      <c r="F14" s="81"/>
      <c r="G14" s="81"/>
      <c r="H14" s="81"/>
      <c r="I14" s="82"/>
      <c r="J14" s="82"/>
      <c r="K14" s="82"/>
      <c r="L14" s="82"/>
      <c r="M14" s="82"/>
      <c r="N14" s="74"/>
      <c r="O14" s="74"/>
      <c r="P14" s="74"/>
      <c r="Q14" s="135"/>
      <c r="R14" s="80"/>
    </row>
    <row r="15" spans="2:21" s="73" customFormat="1" ht="9" x14ac:dyDescent="0.15">
      <c r="B15" s="129" t="s">
        <v>109</v>
      </c>
      <c r="C15" s="81">
        <v>2</v>
      </c>
      <c r="D15" s="74">
        <v>0</v>
      </c>
      <c r="E15" s="74"/>
      <c r="F15" s="81">
        <v>1</v>
      </c>
      <c r="G15" s="81">
        <v>0</v>
      </c>
      <c r="H15" s="81">
        <f t="shared" ref="H15:H22" si="0">C15*F15</f>
        <v>2</v>
      </c>
      <c r="I15" s="83">
        <f>'Annual # of Respondants'!I4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row>
    <row r="16" spans="2:21" s="73" customFormat="1" ht="9" x14ac:dyDescent="0.15">
      <c r="B16" s="127" t="s">
        <v>1163</v>
      </c>
      <c r="C16" s="328">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24" s="73" customFormat="1" ht="9" x14ac:dyDescent="0.15">
      <c r="B17" s="127" t="s">
        <v>1164</v>
      </c>
      <c r="C17" s="81">
        <v>8</v>
      </c>
      <c r="D17" s="74">
        <v>0</v>
      </c>
      <c r="E17" s="74"/>
      <c r="F17" s="81">
        <v>1</v>
      </c>
      <c r="G17" s="81">
        <v>0</v>
      </c>
      <c r="H17" s="81">
        <f t="shared" si="0"/>
        <v>8</v>
      </c>
      <c r="I17" s="83">
        <f>'Annual # of Respondants'!I8</f>
        <v>11.5</v>
      </c>
      <c r="J17" s="82">
        <v>0</v>
      </c>
      <c r="K17" s="82">
        <f t="shared" si="1"/>
        <v>92</v>
      </c>
      <c r="L17" s="82">
        <f t="shared" si="2"/>
        <v>9.2000000000000011</v>
      </c>
      <c r="M17" s="82">
        <f t="shared" si="3"/>
        <v>4.6000000000000005</v>
      </c>
      <c r="N17" s="74">
        <f>(J17*'Labor Data'!$K$10)+(K17*'Labor Data'!$K$9)+(L17*'Labor Data'!$K$11)+(M17*'Labor Data'!$K$8)</f>
        <v>8736.0210000000025</v>
      </c>
      <c r="O17" s="74">
        <f t="shared" si="4"/>
        <v>0</v>
      </c>
      <c r="P17" s="82">
        <f t="shared" si="5"/>
        <v>11.5</v>
      </c>
      <c r="Q17" s="136"/>
      <c r="R17" s="80" t="s">
        <v>103</v>
      </c>
      <c r="S17" s="87"/>
    </row>
    <row r="18" spans="2:24" s="73" customFormat="1" ht="9" x14ac:dyDescent="0.15">
      <c r="B18" s="127" t="s">
        <v>1165</v>
      </c>
      <c r="C18" s="119">
        <v>12</v>
      </c>
      <c r="D18" s="399">
        <f>'Other Cost Basis'!D4</f>
        <v>2455.2476209413121</v>
      </c>
      <c r="E18" s="74"/>
      <c r="F18" s="81">
        <v>1</v>
      </c>
      <c r="G18" s="81">
        <v>0</v>
      </c>
      <c r="H18" s="119">
        <f t="shared" si="0"/>
        <v>12</v>
      </c>
      <c r="I18" s="82">
        <f>IF('Annual # of Respondants'!I9&lt;0,0,'Annual # of Respondants'!I9)</f>
        <v>0</v>
      </c>
      <c r="J18" s="82">
        <v>0</v>
      </c>
      <c r="K18" s="82">
        <f t="shared" si="1"/>
        <v>0</v>
      </c>
      <c r="L18" s="82">
        <f t="shared" si="2"/>
        <v>0</v>
      </c>
      <c r="M18" s="82">
        <f t="shared" si="3"/>
        <v>0</v>
      </c>
      <c r="N18" s="74">
        <f>(J18*'Labor Data'!$K$10)+(K18*'Labor Data'!$K$9)+(L18*'Labor Data'!$K$11)+(M18*'Labor Data'!$K$8)</f>
        <v>0</v>
      </c>
      <c r="O18" s="399">
        <f>'Respondent Yr2'!O18+D18*F18*I18</f>
        <v>44194.457176943615</v>
      </c>
      <c r="P18" s="82">
        <f t="shared" si="5"/>
        <v>0</v>
      </c>
      <c r="Q18" s="400">
        <f>'Other Cost Basis'!B2</f>
        <v>10067</v>
      </c>
      <c r="R18" s="80" t="s">
        <v>1162</v>
      </c>
      <c r="S18" s="87"/>
    </row>
    <row r="19" spans="2:24"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24"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24" s="73" customFormat="1" ht="9" x14ac:dyDescent="0.15">
      <c r="B21" s="127" t="s">
        <v>1168</v>
      </c>
      <c r="C21" s="81">
        <v>80</v>
      </c>
      <c r="D21" s="74">
        <v>0</v>
      </c>
      <c r="E21" s="74"/>
      <c r="F21" s="81">
        <v>1</v>
      </c>
      <c r="G21" s="81">
        <v>0</v>
      </c>
      <c r="H21" s="81">
        <f t="shared" si="0"/>
        <v>80</v>
      </c>
      <c r="I21" s="83">
        <f>I$9</f>
        <v>13</v>
      </c>
      <c r="J21" s="82">
        <v>0</v>
      </c>
      <c r="K21" s="82">
        <f t="shared" si="1"/>
        <v>1040</v>
      </c>
      <c r="L21" s="82">
        <f t="shared" si="2"/>
        <v>104</v>
      </c>
      <c r="M21" s="82">
        <f t="shared" si="3"/>
        <v>52</v>
      </c>
      <c r="N21" s="74">
        <f>(J21*'Labor Data'!$K$10)+(K21*'Labor Data'!$K$9)+(L21*'Labor Data'!$K$11)+(M21*'Labor Data'!$K$8)</f>
        <v>98755.02</v>
      </c>
      <c r="O21" s="74">
        <f t="shared" si="4"/>
        <v>0</v>
      </c>
      <c r="P21" s="82">
        <f t="shared" si="5"/>
        <v>13</v>
      </c>
      <c r="Q21" s="136"/>
      <c r="R21" s="80" t="s">
        <v>99</v>
      </c>
      <c r="S21" s="87"/>
      <c r="X21" s="376"/>
    </row>
    <row r="22" spans="2:24" s="73" customFormat="1" ht="9" x14ac:dyDescent="0.15">
      <c r="B22" s="127" t="s">
        <v>1169</v>
      </c>
      <c r="C22" s="328">
        <v>20</v>
      </c>
      <c r="D22" s="74">
        <v>0</v>
      </c>
      <c r="E22" s="74"/>
      <c r="F22" s="81">
        <v>1</v>
      </c>
      <c r="G22" s="81">
        <v>0</v>
      </c>
      <c r="H22" s="81">
        <f t="shared" si="0"/>
        <v>20</v>
      </c>
      <c r="I22" s="83">
        <f>I21*0.1</f>
        <v>1.3</v>
      </c>
      <c r="J22" s="82">
        <v>0</v>
      </c>
      <c r="K22" s="82">
        <f t="shared" si="1"/>
        <v>26</v>
      </c>
      <c r="L22" s="82">
        <f t="shared" si="2"/>
        <v>2.6</v>
      </c>
      <c r="M22" s="82">
        <f t="shared" si="3"/>
        <v>1.3</v>
      </c>
      <c r="N22" s="74">
        <f>(J22*'Labor Data'!$K$10)+(K22*'Labor Data'!$K$9)+(L22*'Labor Data'!$K$11)+(M22*'Labor Data'!$K$8)</f>
        <v>2468.8755000000001</v>
      </c>
      <c r="O22" s="74">
        <f t="shared" si="4"/>
        <v>0</v>
      </c>
      <c r="P22" s="82">
        <f t="shared" si="5"/>
        <v>1.3</v>
      </c>
      <c r="Q22" s="136"/>
      <c r="R22" s="80" t="s">
        <v>107</v>
      </c>
      <c r="S22" s="87"/>
    </row>
    <row r="23" spans="2:24" s="73" customFormat="1" ht="9" x14ac:dyDescent="0.15">
      <c r="B23" s="127" t="s">
        <v>1170</v>
      </c>
      <c r="C23" s="496" t="s">
        <v>93</v>
      </c>
      <c r="D23" s="497"/>
      <c r="E23" s="388"/>
      <c r="F23" s="81"/>
      <c r="G23" s="81"/>
      <c r="H23" s="81"/>
      <c r="I23" s="83"/>
      <c r="J23" s="82"/>
      <c r="K23" s="82"/>
      <c r="L23" s="82"/>
      <c r="M23" s="82"/>
      <c r="N23" s="74"/>
      <c r="O23" s="74"/>
      <c r="P23" s="82"/>
      <c r="Q23" s="136"/>
      <c r="R23" s="80"/>
      <c r="S23" s="87"/>
    </row>
    <row r="24" spans="2:24" s="73" customFormat="1" ht="9" x14ac:dyDescent="0.15">
      <c r="B24" s="127" t="s">
        <v>1171</v>
      </c>
      <c r="C24" s="496" t="s">
        <v>93</v>
      </c>
      <c r="D24" s="497"/>
      <c r="E24" s="388"/>
      <c r="F24" s="81"/>
      <c r="G24" s="81"/>
      <c r="H24" s="81"/>
      <c r="I24" s="83"/>
      <c r="J24" s="82"/>
      <c r="K24" s="82"/>
      <c r="L24" s="82"/>
      <c r="M24" s="82"/>
      <c r="N24" s="74"/>
      <c r="O24" s="74"/>
      <c r="P24" s="82"/>
      <c r="Q24" s="136"/>
      <c r="R24" s="80"/>
      <c r="S24" s="87"/>
    </row>
    <row r="25" spans="2:24" s="73" customFormat="1" ht="9" x14ac:dyDescent="0.15">
      <c r="B25" s="127" t="s">
        <v>1172</v>
      </c>
      <c r="C25" s="408">
        <v>27</v>
      </c>
      <c r="D25" s="74">
        <v>0</v>
      </c>
      <c r="E25" s="74"/>
      <c r="F25" s="81">
        <v>1</v>
      </c>
      <c r="G25" s="81">
        <v>0</v>
      </c>
      <c r="H25" s="81">
        <f>C25*F25</f>
        <v>27</v>
      </c>
      <c r="I25" s="83">
        <f>'Annual # of Respondants'!I6</f>
        <v>117</v>
      </c>
      <c r="J25" s="82">
        <v>0</v>
      </c>
      <c r="K25" s="82">
        <f>H25*I25</f>
        <v>3159</v>
      </c>
      <c r="L25" s="82">
        <f>K25*0.1</f>
        <v>315.90000000000003</v>
      </c>
      <c r="M25" s="82">
        <f>K25*0.05</f>
        <v>157.95000000000002</v>
      </c>
      <c r="N25" s="74">
        <f>(J25*'Labor Data'!$K$10)+(K25*'Labor Data'!$K$9)+(L25*'Labor Data'!$K$11)+(M25*'Labor Data'!$K$8)</f>
        <v>299968.37325</v>
      </c>
      <c r="O25" s="74">
        <f>D25*F25*I25</f>
        <v>0</v>
      </c>
      <c r="P25" s="82">
        <f>F25*I25</f>
        <v>117</v>
      </c>
      <c r="Q25" s="136"/>
      <c r="R25" s="80" t="s">
        <v>1160</v>
      </c>
      <c r="S25" s="87"/>
    </row>
    <row r="26" spans="2:24" s="73" customFormat="1" ht="9" x14ac:dyDescent="0.15">
      <c r="B26" s="86" t="s">
        <v>74</v>
      </c>
      <c r="C26" s="81"/>
      <c r="D26" s="74"/>
      <c r="E26" s="74"/>
      <c r="F26" s="81"/>
      <c r="G26" s="81"/>
      <c r="H26" s="81"/>
      <c r="I26" s="83"/>
      <c r="J26" s="82">
        <f t="shared" ref="J26:O26" si="6">SUM(J7:J25)</f>
        <v>73182.694967737756</v>
      </c>
      <c r="K26" s="82">
        <f t="shared" si="6"/>
        <v>4473</v>
      </c>
      <c r="L26" s="82">
        <f t="shared" si="6"/>
        <v>447.30000000000007</v>
      </c>
      <c r="M26" s="82">
        <f t="shared" si="6"/>
        <v>223.65000000000003</v>
      </c>
      <c r="N26" s="74">
        <f t="shared" si="6"/>
        <v>4073191.6176715987</v>
      </c>
      <c r="O26" s="74">
        <f t="shared" si="6"/>
        <v>629388.6168602946</v>
      </c>
      <c r="P26" s="82">
        <f>SUM(P15:P25)+P9</f>
        <v>155.80000000000001</v>
      </c>
      <c r="Q26" s="74">
        <f>SUM(Q7:Q25)</f>
        <v>28134</v>
      </c>
      <c r="R26" s="80"/>
      <c r="S26" s="85" t="e">
        <f>SUM(O7,O9:O10,#REF!,#REF!,#REF!,#REF!,#REF!,#REF!,#REF!)</f>
        <v>#REF!</v>
      </c>
    </row>
    <row r="27" spans="2:24" s="73" customFormat="1" ht="9" x14ac:dyDescent="0.15">
      <c r="B27" s="84" t="s">
        <v>73</v>
      </c>
      <c r="C27" s="81"/>
      <c r="D27" s="74"/>
      <c r="E27" s="74"/>
      <c r="F27" s="81"/>
      <c r="G27" s="81"/>
      <c r="H27" s="81"/>
      <c r="I27" s="82"/>
      <c r="J27" s="82"/>
      <c r="K27" s="82"/>
      <c r="L27" s="82"/>
      <c r="M27" s="82"/>
      <c r="N27" s="74"/>
      <c r="O27" s="74"/>
      <c r="P27" s="74"/>
      <c r="Q27" s="135"/>
      <c r="R27" s="80"/>
    </row>
    <row r="28" spans="2:24" s="73" customFormat="1" ht="9" x14ac:dyDescent="0.15">
      <c r="B28" s="84" t="s">
        <v>72</v>
      </c>
      <c r="C28" s="496" t="s">
        <v>71</v>
      </c>
      <c r="D28" s="497"/>
      <c r="E28" s="388"/>
      <c r="F28" s="81"/>
      <c r="G28" s="81"/>
      <c r="H28" s="81"/>
      <c r="I28" s="82"/>
      <c r="J28" s="82"/>
      <c r="K28" s="82"/>
      <c r="L28" s="82"/>
      <c r="M28" s="82"/>
      <c r="N28" s="74"/>
      <c r="O28" s="74"/>
      <c r="P28" s="74"/>
      <c r="Q28" s="135"/>
      <c r="R28" s="80"/>
    </row>
    <row r="29" spans="2:24" s="73" customFormat="1" ht="9" x14ac:dyDescent="0.15">
      <c r="B29" s="84" t="s">
        <v>70</v>
      </c>
      <c r="C29" s="496" t="s">
        <v>61</v>
      </c>
      <c r="D29" s="497"/>
      <c r="E29" s="388"/>
      <c r="F29" s="81"/>
      <c r="G29" s="81"/>
      <c r="H29" s="81"/>
      <c r="I29" s="82"/>
      <c r="J29" s="82"/>
      <c r="K29" s="82"/>
      <c r="L29" s="82"/>
      <c r="M29" s="82"/>
      <c r="N29" s="74"/>
      <c r="O29" s="74"/>
      <c r="P29" s="74"/>
      <c r="Q29" s="135"/>
      <c r="R29" s="80"/>
    </row>
    <row r="30" spans="2:24" s="73" customFormat="1" ht="9" x14ac:dyDescent="0.15">
      <c r="B30" s="84" t="s">
        <v>69</v>
      </c>
      <c r="C30" s="496" t="s">
        <v>61</v>
      </c>
      <c r="D30" s="497"/>
      <c r="E30" s="388"/>
      <c r="F30" s="81"/>
      <c r="G30" s="81"/>
      <c r="H30" s="81"/>
      <c r="I30" s="82"/>
      <c r="J30" s="82"/>
      <c r="K30" s="82"/>
      <c r="L30" s="82"/>
      <c r="M30" s="82"/>
      <c r="N30" s="74"/>
      <c r="O30" s="74"/>
      <c r="P30" s="74"/>
      <c r="Q30" s="135"/>
      <c r="R30" s="80"/>
    </row>
    <row r="31" spans="2:24" s="73" customFormat="1" ht="9" x14ac:dyDescent="0.15">
      <c r="B31" s="84" t="s">
        <v>68</v>
      </c>
      <c r="C31" s="496" t="s">
        <v>61</v>
      </c>
      <c r="D31" s="497"/>
      <c r="E31" s="388"/>
      <c r="F31" s="81"/>
      <c r="G31" s="81"/>
      <c r="H31" s="81"/>
      <c r="I31" s="82"/>
      <c r="J31" s="82"/>
      <c r="K31" s="82"/>
      <c r="L31" s="82"/>
      <c r="M31" s="82"/>
      <c r="N31" s="74"/>
      <c r="O31" s="74"/>
      <c r="P31" s="74"/>
      <c r="Q31" s="135"/>
      <c r="R31" s="80"/>
    </row>
    <row r="32" spans="2:24"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428"/>
      <c r="C33" s="81"/>
      <c r="D33" s="74"/>
      <c r="E33" s="74"/>
      <c r="F33" s="81"/>
      <c r="G33" s="81"/>
      <c r="H33" s="81"/>
      <c r="I33" s="83"/>
      <c r="J33" s="82"/>
      <c r="K33" s="82"/>
      <c r="L33" s="82"/>
      <c r="M33" s="82"/>
      <c r="N33" s="74"/>
      <c r="O33" s="74"/>
      <c r="P33" s="82"/>
      <c r="Q33" s="136"/>
      <c r="R33" s="80"/>
    </row>
    <row r="34" spans="1:19" s="73" customFormat="1" ht="9.75" customHeight="1" x14ac:dyDescent="0.15">
      <c r="B34" s="415" t="s">
        <v>1267</v>
      </c>
      <c r="C34" s="417">
        <v>5</v>
      </c>
      <c r="D34" s="74">
        <v>0</v>
      </c>
      <c r="E34" s="74"/>
      <c r="F34" s="408">
        <v>12</v>
      </c>
      <c r="G34" s="81">
        <v>0</v>
      </c>
      <c r="H34" s="81">
        <f>C34*F34</f>
        <v>60</v>
      </c>
      <c r="I34" s="83">
        <f>I$10</f>
        <v>117</v>
      </c>
      <c r="J34" s="82">
        <v>0</v>
      </c>
      <c r="K34" s="82">
        <f>H34*I34</f>
        <v>7020</v>
      </c>
      <c r="L34" s="82">
        <f>K34*0.1</f>
        <v>702</v>
      </c>
      <c r="M34" s="82">
        <f>K34*0.05</f>
        <v>351</v>
      </c>
      <c r="N34" s="74">
        <f>(J34*'Labor Data'!$K$10)+(K34*'Labor Data'!$K$9)+(L34*'Labor Data'!$K$11)+(M34*'Labor Data'!$K$8)</f>
        <v>666596.38500000001</v>
      </c>
      <c r="O34" s="74">
        <f>D34*F34*I34</f>
        <v>0</v>
      </c>
      <c r="P34" s="82">
        <v>0</v>
      </c>
      <c r="Q34" s="136"/>
      <c r="R34" s="412" t="s">
        <v>1159</v>
      </c>
    </row>
    <row r="35" spans="1:19" s="73" customFormat="1" ht="9" x14ac:dyDescent="0.15">
      <c r="B35" s="416" t="s">
        <v>1261</v>
      </c>
      <c r="C35" s="408">
        <v>11</v>
      </c>
      <c r="D35" s="74">
        <v>0</v>
      </c>
      <c r="E35" s="74"/>
      <c r="F35" s="408">
        <v>12</v>
      </c>
      <c r="G35" s="81">
        <v>0</v>
      </c>
      <c r="H35" s="81">
        <f>C35*F35</f>
        <v>132</v>
      </c>
      <c r="I35" s="83">
        <f>I$10</f>
        <v>117</v>
      </c>
      <c r="J35" s="82">
        <v>0</v>
      </c>
      <c r="K35" s="82">
        <f>H35*I35</f>
        <v>15444</v>
      </c>
      <c r="L35" s="82">
        <f>K35*0.1</f>
        <v>1544.4</v>
      </c>
      <c r="M35" s="82">
        <f>K35*0.05</f>
        <v>772.2</v>
      </c>
      <c r="N35" s="74">
        <f>(J35*'Labor Data'!$K$10)+(K35*'Labor Data'!$K$9)+(L35*'Labor Data'!$K$11)+(M35*'Labor Data'!$K$8)</f>
        <v>1466512.047</v>
      </c>
      <c r="O35" s="74">
        <f>D35*F35*I35</f>
        <v>0</v>
      </c>
      <c r="P35" s="82">
        <v>0</v>
      </c>
      <c r="Q35" s="136"/>
      <c r="R35" s="80" t="s">
        <v>1159</v>
      </c>
    </row>
    <row r="36" spans="1:19" s="406" customFormat="1" ht="9" x14ac:dyDescent="0.15">
      <c r="B36" s="416" t="s">
        <v>1260</v>
      </c>
      <c r="C36" s="417">
        <v>4</v>
      </c>
      <c r="D36" s="399">
        <v>0</v>
      </c>
      <c r="E36" s="405"/>
      <c r="F36" s="408">
        <v>1</v>
      </c>
      <c r="G36" s="408">
        <v>0</v>
      </c>
      <c r="H36" s="408">
        <f>C36*F36</f>
        <v>4</v>
      </c>
      <c r="I36" s="410">
        <f>'Annual # of Respondants'!I5-'Annual # of Respondants'!I6</f>
        <v>30</v>
      </c>
      <c r="J36" s="411">
        <v>0</v>
      </c>
      <c r="K36" s="411">
        <f>H36*I36</f>
        <v>120</v>
      </c>
      <c r="L36" s="411">
        <f>K36*0.1</f>
        <v>12</v>
      </c>
      <c r="M36" s="411">
        <f>K36*0.05</f>
        <v>6</v>
      </c>
      <c r="N36" s="399">
        <f>(J36*'Labor Data'!$K$10)+(K36*'Labor Data'!$K$9)+(L36*'Labor Data'!$K$11)+(M36*'Labor Data'!$K$8)</f>
        <v>11394.81</v>
      </c>
      <c r="O36" s="399">
        <f>D36*F36*I36</f>
        <v>0</v>
      </c>
      <c r="P36" s="411">
        <v>1</v>
      </c>
      <c r="Q36" s="400"/>
      <c r="R36" s="412" t="s">
        <v>1262</v>
      </c>
    </row>
    <row r="37" spans="1:19" s="73" customFormat="1" ht="9" x14ac:dyDescent="0.15">
      <c r="B37" s="84" t="s">
        <v>64</v>
      </c>
      <c r="C37" s="496" t="s">
        <v>61</v>
      </c>
      <c r="D37" s="497"/>
      <c r="E37" s="388"/>
      <c r="F37" s="81"/>
      <c r="G37" s="81"/>
      <c r="H37" s="81"/>
      <c r="I37" s="83"/>
      <c r="J37" s="82"/>
      <c r="K37" s="82"/>
      <c r="L37" s="82"/>
      <c r="M37" s="82"/>
      <c r="N37" s="74"/>
      <c r="O37" s="74"/>
      <c r="P37" s="82"/>
      <c r="Q37" s="136"/>
      <c r="R37" s="80"/>
    </row>
    <row r="38" spans="1:19" s="73" customFormat="1" ht="9" x14ac:dyDescent="0.15">
      <c r="B38" s="128" t="s">
        <v>62</v>
      </c>
      <c r="C38" s="496" t="s">
        <v>61</v>
      </c>
      <c r="D38" s="497"/>
      <c r="E38" s="388"/>
      <c r="F38" s="81"/>
      <c r="G38" s="81"/>
      <c r="H38" s="81"/>
      <c r="I38" s="83"/>
      <c r="J38" s="82"/>
      <c r="K38" s="82"/>
      <c r="L38" s="82"/>
      <c r="M38" s="82"/>
      <c r="N38" s="74"/>
      <c r="O38" s="74"/>
      <c r="P38" s="74"/>
      <c r="Q38" s="135"/>
      <c r="R38" s="80"/>
    </row>
    <row r="39" spans="1:19" s="73" customFormat="1" ht="9" x14ac:dyDescent="0.15">
      <c r="B39" s="79" t="s">
        <v>60</v>
      </c>
      <c r="C39" s="78"/>
      <c r="D39" s="77"/>
      <c r="E39" s="77"/>
      <c r="F39" s="78"/>
      <c r="G39" s="78"/>
      <c r="H39" s="78"/>
      <c r="I39" s="76"/>
      <c r="J39" s="76">
        <f>SUM(J28:J38)</f>
        <v>0</v>
      </c>
      <c r="K39" s="76">
        <f t="shared" ref="K39:Q39" si="7">SUM(K28:K38)</f>
        <v>22584</v>
      </c>
      <c r="L39" s="76">
        <f t="shared" si="7"/>
        <v>2258.4</v>
      </c>
      <c r="M39" s="76">
        <f t="shared" si="7"/>
        <v>1129.2</v>
      </c>
      <c r="N39" s="77">
        <f t="shared" si="7"/>
        <v>2144503.2420000001</v>
      </c>
      <c r="O39" s="77">
        <f t="shared" si="7"/>
        <v>0</v>
      </c>
      <c r="P39" s="76">
        <f t="shared" si="7"/>
        <v>1</v>
      </c>
      <c r="Q39" s="77">
        <f t="shared" si="7"/>
        <v>0</v>
      </c>
      <c r="R39" s="75"/>
      <c r="S39" s="74">
        <f>SUM(S28:S38)</f>
        <v>0</v>
      </c>
    </row>
    <row r="40" spans="1:19" s="65" customFormat="1" x14ac:dyDescent="0.2">
      <c r="B40" s="72" t="s">
        <v>59</v>
      </c>
      <c r="C40" s="70"/>
      <c r="D40" s="71"/>
      <c r="E40" s="71"/>
      <c r="F40" s="70"/>
      <c r="G40" s="70"/>
      <c r="H40" s="70"/>
      <c r="I40" s="69"/>
      <c r="J40" s="67">
        <f>J26+J39</f>
        <v>73182.694967737756</v>
      </c>
      <c r="K40" s="67">
        <f t="shared" ref="K40:Q40" si="8">K26+K39</f>
        <v>27057</v>
      </c>
      <c r="L40" s="67">
        <f t="shared" si="8"/>
        <v>2705.7000000000003</v>
      </c>
      <c r="M40" s="67">
        <f t="shared" si="8"/>
        <v>1352.8500000000001</v>
      </c>
      <c r="N40" s="68">
        <f t="shared" si="8"/>
        <v>6217694.8596715983</v>
      </c>
      <c r="O40" s="68">
        <f>O26+O39</f>
        <v>629388.6168602946</v>
      </c>
      <c r="P40" s="67">
        <f>P26+P39</f>
        <v>156.80000000000001</v>
      </c>
      <c r="Q40" s="68">
        <f t="shared" si="8"/>
        <v>28134</v>
      </c>
      <c r="R40" s="66"/>
    </row>
    <row r="41" spans="1:19" ht="6" customHeight="1" x14ac:dyDescent="0.2"/>
    <row r="42" spans="1:19" s="62" customFormat="1" ht="12.75" customHeight="1" x14ac:dyDescent="0.15">
      <c r="A42" s="122" t="s">
        <v>96</v>
      </c>
      <c r="B42" s="126"/>
      <c r="C42" s="126"/>
      <c r="D42" s="126"/>
      <c r="E42" s="126"/>
      <c r="F42" s="126"/>
      <c r="G42" s="126"/>
      <c r="H42" s="126"/>
      <c r="I42" s="126"/>
      <c r="J42" s="126"/>
      <c r="K42" s="126"/>
      <c r="L42" s="126"/>
      <c r="M42" s="126"/>
      <c r="N42" s="126"/>
      <c r="O42" s="126"/>
      <c r="P42" s="126"/>
      <c r="Q42" s="126"/>
      <c r="R42" s="63"/>
    </row>
    <row r="43" spans="1:19" s="359" customFormat="1" ht="9" customHeight="1" x14ac:dyDescent="0.15">
      <c r="A43" s="358" t="s">
        <v>75</v>
      </c>
      <c r="B43" s="414" t="s">
        <v>1257</v>
      </c>
    </row>
    <row r="44" spans="1:19" s="359" customFormat="1" ht="19.5" customHeight="1" x14ac:dyDescent="0.15">
      <c r="A44" s="358" t="s">
        <v>97</v>
      </c>
      <c r="B44" s="494" t="s">
        <v>1232</v>
      </c>
      <c r="C44" s="494"/>
      <c r="D44" s="494"/>
      <c r="E44" s="494"/>
      <c r="F44" s="494"/>
      <c r="G44" s="494"/>
      <c r="H44" s="494"/>
      <c r="I44" s="494"/>
      <c r="J44" s="494"/>
      <c r="K44" s="494"/>
      <c r="L44" s="494"/>
      <c r="M44" s="494"/>
      <c r="N44" s="494"/>
      <c r="O44" s="494"/>
      <c r="P44" s="494"/>
      <c r="Q44" s="494"/>
      <c r="R44" s="494"/>
    </row>
    <row r="45" spans="1:19" s="359" customFormat="1" ht="9" customHeight="1" x14ac:dyDescent="0.15">
      <c r="A45" s="358" t="s">
        <v>65</v>
      </c>
      <c r="B45" s="360" t="s">
        <v>842</v>
      </c>
    </row>
    <row r="46" spans="1:19" s="359" customFormat="1" ht="9" x14ac:dyDescent="0.15">
      <c r="A46" s="358" t="s">
        <v>98</v>
      </c>
      <c r="B46" s="360" t="s">
        <v>1228</v>
      </c>
      <c r="C46" s="357"/>
      <c r="D46" s="357"/>
      <c r="E46" s="390"/>
      <c r="F46" s="357"/>
      <c r="G46" s="357"/>
      <c r="H46" s="357"/>
      <c r="I46" s="357"/>
      <c r="J46" s="357"/>
      <c r="K46" s="357"/>
      <c r="L46" s="357"/>
      <c r="M46" s="357"/>
      <c r="N46" s="357"/>
      <c r="O46" s="357"/>
      <c r="P46" s="357"/>
      <c r="Q46" s="357"/>
      <c r="R46" s="357"/>
    </row>
    <row r="47" spans="1:19" s="359" customFormat="1" ht="27.75" customHeight="1" x14ac:dyDescent="0.15">
      <c r="A47" s="358" t="s">
        <v>67</v>
      </c>
      <c r="B47" s="492" t="s">
        <v>1265</v>
      </c>
      <c r="C47" s="492"/>
      <c r="D47" s="492"/>
      <c r="E47" s="492"/>
      <c r="F47" s="492"/>
      <c r="G47" s="492"/>
      <c r="H47" s="492"/>
      <c r="I47" s="492"/>
      <c r="J47" s="492"/>
      <c r="K47" s="492"/>
      <c r="L47" s="492"/>
      <c r="M47" s="492"/>
      <c r="N47" s="492"/>
      <c r="O47" s="492"/>
      <c r="P47" s="492"/>
      <c r="Q47" s="492"/>
      <c r="R47" s="492"/>
    </row>
    <row r="48" spans="1:19" s="359" customFormat="1" ht="9" x14ac:dyDescent="0.15">
      <c r="A48" s="358" t="s">
        <v>99</v>
      </c>
      <c r="B48" s="359" t="s">
        <v>1212</v>
      </c>
    </row>
    <row r="49" spans="1:18" s="359" customFormat="1" ht="36" customHeight="1" x14ac:dyDescent="0.15">
      <c r="A49" s="358" t="s">
        <v>100</v>
      </c>
      <c r="B49" s="492" t="s">
        <v>1274</v>
      </c>
      <c r="C49" s="492"/>
      <c r="D49" s="492"/>
      <c r="E49" s="492"/>
      <c r="F49" s="492"/>
      <c r="G49" s="492"/>
      <c r="H49" s="492"/>
      <c r="I49" s="492"/>
      <c r="J49" s="492"/>
      <c r="K49" s="492"/>
      <c r="L49" s="492"/>
      <c r="M49" s="492"/>
      <c r="N49" s="492"/>
      <c r="O49" s="492"/>
      <c r="P49" s="492"/>
      <c r="Q49" s="492"/>
      <c r="R49" s="492"/>
    </row>
    <row r="50" spans="1:18" s="359" customFormat="1" ht="9" x14ac:dyDescent="0.15">
      <c r="A50" s="358" t="s">
        <v>101</v>
      </c>
      <c r="B50" s="494" t="s">
        <v>1222</v>
      </c>
      <c r="C50" s="494"/>
      <c r="D50" s="494"/>
      <c r="E50" s="494"/>
      <c r="F50" s="494"/>
      <c r="G50" s="494"/>
      <c r="H50" s="494"/>
      <c r="I50" s="494"/>
      <c r="J50" s="494"/>
      <c r="K50" s="494"/>
      <c r="L50" s="494"/>
      <c r="M50" s="494"/>
      <c r="N50" s="494"/>
      <c r="O50" s="494"/>
      <c r="P50" s="494"/>
      <c r="Q50" s="494"/>
      <c r="R50" s="494"/>
    </row>
    <row r="51" spans="1:18" s="359" customFormat="1" ht="9" customHeight="1" x14ac:dyDescent="0.15">
      <c r="A51" s="358" t="s">
        <v>102</v>
      </c>
      <c r="B51" s="362" t="s">
        <v>1224</v>
      </c>
      <c r="C51" s="361"/>
      <c r="D51" s="361"/>
      <c r="E51" s="361"/>
      <c r="F51" s="361"/>
      <c r="G51" s="361"/>
      <c r="H51" s="361"/>
      <c r="I51" s="361"/>
      <c r="J51" s="361"/>
      <c r="K51" s="361"/>
      <c r="L51" s="361"/>
      <c r="M51" s="361"/>
      <c r="P51" s="363"/>
      <c r="Q51" s="363"/>
      <c r="R51" s="364"/>
    </row>
    <row r="52" spans="1:18" s="359" customFormat="1" ht="9" x14ac:dyDescent="0.15">
      <c r="A52" s="358" t="s">
        <v>103</v>
      </c>
      <c r="B52" s="359" t="s">
        <v>1201</v>
      </c>
      <c r="C52" s="364"/>
      <c r="D52" s="364"/>
      <c r="E52" s="364"/>
      <c r="F52" s="364"/>
      <c r="G52" s="364"/>
      <c r="H52" s="364"/>
      <c r="I52" s="365"/>
      <c r="J52" s="364"/>
      <c r="K52" s="364"/>
      <c r="L52" s="364"/>
      <c r="M52" s="364"/>
      <c r="P52" s="363"/>
      <c r="Q52" s="363"/>
      <c r="R52" s="364"/>
    </row>
    <row r="53" spans="1:18" s="359" customFormat="1" ht="9" customHeight="1" x14ac:dyDescent="0.15">
      <c r="A53" s="358" t="s">
        <v>63</v>
      </c>
      <c r="B53" s="403" t="s">
        <v>1266</v>
      </c>
      <c r="C53" s="364"/>
      <c r="D53" s="364"/>
      <c r="E53" s="364"/>
      <c r="F53" s="364"/>
      <c r="G53" s="364"/>
      <c r="H53" s="364"/>
      <c r="I53" s="365"/>
      <c r="J53" s="364"/>
      <c r="K53" s="364"/>
      <c r="L53" s="364"/>
      <c r="M53" s="364"/>
      <c r="P53" s="363"/>
      <c r="Q53" s="363"/>
      <c r="R53" s="364"/>
    </row>
    <row r="54" spans="1:18" s="359" customFormat="1" ht="9" x14ac:dyDescent="0.15">
      <c r="A54" s="358" t="s">
        <v>104</v>
      </c>
      <c r="B54" s="360" t="s">
        <v>108</v>
      </c>
      <c r="C54" s="364"/>
      <c r="D54" s="364"/>
      <c r="E54" s="364"/>
      <c r="F54" s="364"/>
      <c r="G54" s="364"/>
      <c r="H54" s="364"/>
      <c r="I54" s="365"/>
      <c r="J54" s="364"/>
      <c r="K54" s="364"/>
      <c r="L54" s="364"/>
      <c r="M54" s="364"/>
      <c r="P54" s="363"/>
      <c r="Q54" s="363"/>
      <c r="R54" s="364"/>
    </row>
    <row r="55" spans="1:18" s="359" customFormat="1" ht="9" x14ac:dyDescent="0.15">
      <c r="A55" s="358" t="s">
        <v>105</v>
      </c>
      <c r="B55" s="359" t="s">
        <v>841</v>
      </c>
      <c r="P55" s="363"/>
      <c r="Q55" s="363"/>
      <c r="R55" s="364"/>
    </row>
    <row r="56" spans="1:18" s="359" customFormat="1" ht="9" x14ac:dyDescent="0.15">
      <c r="A56" s="358" t="s">
        <v>107</v>
      </c>
      <c r="B56" s="359" t="s">
        <v>1158</v>
      </c>
      <c r="P56" s="363"/>
      <c r="Q56" s="363"/>
      <c r="R56" s="364"/>
    </row>
    <row r="57" spans="1:18" s="359" customFormat="1" ht="9" x14ac:dyDescent="0.15">
      <c r="A57" s="358" t="s">
        <v>1160</v>
      </c>
      <c r="B57" s="403" t="s">
        <v>1272</v>
      </c>
      <c r="C57" s="364"/>
      <c r="D57" s="364"/>
      <c r="E57" s="364"/>
      <c r="F57" s="364"/>
      <c r="G57" s="364"/>
      <c r="H57" s="364"/>
      <c r="I57" s="365"/>
      <c r="J57" s="364"/>
      <c r="K57" s="364"/>
      <c r="L57" s="364"/>
      <c r="M57" s="364"/>
      <c r="N57" s="364"/>
      <c r="O57" s="363"/>
      <c r="P57" s="363"/>
      <c r="Q57" s="363"/>
      <c r="R57" s="364"/>
    </row>
    <row r="58" spans="1:18" s="359" customFormat="1" ht="9" x14ac:dyDescent="0.15">
      <c r="A58" s="358" t="s">
        <v>1159</v>
      </c>
      <c r="B58" s="403" t="s">
        <v>1273</v>
      </c>
      <c r="C58" s="357"/>
      <c r="D58" s="357"/>
      <c r="E58" s="390"/>
      <c r="F58" s="357"/>
      <c r="G58" s="357"/>
      <c r="H58" s="357"/>
      <c r="I58" s="357"/>
      <c r="J58" s="357"/>
      <c r="K58" s="357"/>
      <c r="L58" s="357"/>
      <c r="M58" s="357"/>
      <c r="N58" s="357"/>
      <c r="O58" s="357"/>
      <c r="P58" s="357"/>
      <c r="Q58" s="357"/>
      <c r="R58" s="357"/>
    </row>
    <row r="59" spans="1:18" s="62" customFormat="1" ht="9" x14ac:dyDescent="0.15">
      <c r="A59" s="358" t="s">
        <v>1262</v>
      </c>
      <c r="B59" s="403" t="s">
        <v>1264</v>
      </c>
      <c r="C59" s="306"/>
      <c r="D59" s="306"/>
      <c r="E59" s="387"/>
      <c r="F59" s="306"/>
      <c r="G59" s="306"/>
      <c r="H59" s="306"/>
      <c r="I59" s="306"/>
      <c r="J59" s="306"/>
      <c r="K59" s="306"/>
      <c r="L59" s="306"/>
      <c r="M59" s="306"/>
      <c r="N59" s="306"/>
      <c r="O59" s="306"/>
      <c r="P59" s="306"/>
      <c r="Q59" s="306"/>
    </row>
    <row r="60" spans="1:18" s="62" customFormat="1" ht="9" x14ac:dyDescent="0.15">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ht="9" x14ac:dyDescent="0.15">
      <c r="C76" s="63"/>
      <c r="D76" s="63"/>
      <c r="E76" s="63"/>
      <c r="F76" s="63"/>
      <c r="G76" s="63"/>
      <c r="H76" s="63"/>
      <c r="I76" s="64"/>
      <c r="J76" s="63"/>
      <c r="K76" s="63"/>
      <c r="L76" s="63"/>
      <c r="M76" s="63"/>
      <c r="N76" s="63"/>
      <c r="O76" s="61"/>
      <c r="P76" s="61"/>
      <c r="Q76" s="61"/>
      <c r="R76" s="63"/>
    </row>
    <row r="77" spans="3:18" s="62" customFormat="1" x14ac:dyDescent="0.2">
      <c r="C77" s="63"/>
      <c r="D77" s="63"/>
      <c r="E77" s="63"/>
      <c r="F77" s="63"/>
      <c r="G77" s="63"/>
      <c r="H77" s="63"/>
      <c r="I77" s="64"/>
      <c r="J77" s="63"/>
      <c r="K77" s="63"/>
      <c r="L77" s="63"/>
      <c r="M77" s="63"/>
      <c r="N77" s="63"/>
      <c r="O77" s="61"/>
      <c r="P77" s="61"/>
      <c r="Q77" s="61"/>
      <c r="R77" s="58"/>
    </row>
    <row r="78" spans="3:18" s="62" customFormat="1" x14ac:dyDescent="0.2">
      <c r="C78" s="63"/>
      <c r="D78" s="63"/>
      <c r="E78" s="63"/>
      <c r="F78" s="63"/>
      <c r="G78" s="58"/>
      <c r="H78" s="63"/>
      <c r="I78" s="64"/>
      <c r="J78" s="58"/>
      <c r="K78" s="63"/>
      <c r="L78" s="63"/>
      <c r="M78" s="63"/>
      <c r="N78" s="63"/>
      <c r="O78" s="61"/>
      <c r="P78" s="61"/>
      <c r="Q78" s="61"/>
      <c r="R78" s="58"/>
    </row>
    <row r="79" spans="3:18" x14ac:dyDescent="0.2">
      <c r="P79" s="61"/>
      <c r="Q79" s="61"/>
    </row>
    <row r="80" spans="3:18" x14ac:dyDescent="0.2">
      <c r="P80" s="61"/>
      <c r="Q80" s="61"/>
    </row>
  </sheetData>
  <mergeCells count="18">
    <mergeCell ref="C4:D4"/>
    <mergeCell ref="B1:R1"/>
    <mergeCell ref="B2:R2"/>
    <mergeCell ref="B49:R49"/>
    <mergeCell ref="B50:R50"/>
    <mergeCell ref="B44:R44"/>
    <mergeCell ref="C5:D5"/>
    <mergeCell ref="C12:D12"/>
    <mergeCell ref="C13:D13"/>
    <mergeCell ref="C23:D23"/>
    <mergeCell ref="C24:D24"/>
    <mergeCell ref="C28:D28"/>
    <mergeCell ref="C29:D29"/>
    <mergeCell ref="C30:D30"/>
    <mergeCell ref="C31:D31"/>
    <mergeCell ref="C37:D37"/>
    <mergeCell ref="B47:R47"/>
    <mergeCell ref="C38:D38"/>
  </mergeCells>
  <pageMargins left="0.25" right="0.25" top="0.5" bottom="0.5" header="0.5" footer="0.5"/>
  <pageSetup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145" zoomScaleNormal="145" workbookViewId="0">
      <pane xSplit="9" ySplit="2" topLeftCell="J8" activePane="bottomRight" state="frozen"/>
      <selection activeCell="A4" sqref="A4:XFD4"/>
      <selection pane="topRight" activeCell="A4" sqref="A4:XFD4"/>
      <selection pane="bottomLeft" activeCell="A4" sqref="A4:XFD4"/>
      <selection pane="bottomRight" activeCell="D18" sqref="D18"/>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16384" width="9.140625" style="57"/>
  </cols>
  <sheetData>
    <row r="1" spans="2:20" x14ac:dyDescent="0.2">
      <c r="B1" s="493" t="s">
        <v>1241</v>
      </c>
      <c r="C1" s="493"/>
      <c r="D1" s="493"/>
      <c r="E1" s="493"/>
      <c r="F1" s="493"/>
      <c r="G1" s="493"/>
      <c r="H1" s="493"/>
      <c r="I1" s="493"/>
      <c r="J1" s="493"/>
      <c r="K1" s="493"/>
      <c r="L1" s="493"/>
      <c r="M1" s="493"/>
      <c r="N1" s="493"/>
      <c r="O1" s="493"/>
      <c r="P1" s="493"/>
      <c r="Q1" s="493"/>
      <c r="R1" s="493"/>
    </row>
    <row r="2" spans="2:20" x14ac:dyDescent="0.2">
      <c r="B2" s="495" t="s">
        <v>1187</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Respondants'!J3</f>
        <v>0</v>
      </c>
      <c r="J7" s="82">
        <v>0</v>
      </c>
      <c r="K7" s="82">
        <f>H7*I7</f>
        <v>0</v>
      </c>
      <c r="L7" s="82">
        <f>K7*0.1</f>
        <v>0</v>
      </c>
      <c r="M7" s="83">
        <f>K7*0.05</f>
        <v>0</v>
      </c>
      <c r="N7" s="74">
        <f>(J7*'Labor Data'!$K$10)+(K7*'Labor Data'!$K$9)+(L7*'Labor Data'!$K$11)+(M7*'Labor Data'!$K$8)</f>
        <v>0</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Respondants'!J12</f>
        <v>4</v>
      </c>
      <c r="J9" s="82">
        <v>0</v>
      </c>
      <c r="K9" s="82">
        <f>H9*I9</f>
        <v>48</v>
      </c>
      <c r="L9" s="82">
        <f>K9*0.1</f>
        <v>4.8000000000000007</v>
      </c>
      <c r="M9" s="82">
        <f>K9*0.05</f>
        <v>2.4000000000000004</v>
      </c>
      <c r="N9" s="74">
        <f>(J9*'Labor Data'!$K$10)+(K9*'Labor Data'!$K$9)+(L9*'Labor Data'!$K$11)+(M9*'Labor Data'!$K$8)</f>
        <v>4557.9240000000009</v>
      </c>
      <c r="O9" s="426">
        <f>'2.A-Public'!O9+(D9+E9)*F9*I9</f>
        <v>89509.784534192557</v>
      </c>
      <c r="P9" s="82">
        <f>F9*I9</f>
        <v>4</v>
      </c>
      <c r="Q9" s="136">
        <f>'Other Cost Basis'!B2+'Other Cost Basis'!B17+'Other Cost Basis'!B18+'Other Cost Basis'!B19</f>
        <v>18067</v>
      </c>
      <c r="R9" s="80" t="s">
        <v>106</v>
      </c>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Respondants'!J6</f>
        <v>30</v>
      </c>
      <c r="J10" s="82">
        <f>G10*I10</f>
        <v>4364.79358147122</v>
      </c>
      <c r="K10" s="82">
        <v>0</v>
      </c>
      <c r="L10" s="82">
        <v>0</v>
      </c>
      <c r="M10" s="82">
        <v>0</v>
      </c>
      <c r="N10" s="74">
        <f>(J10*'Labor Data'!$K$10)+(K10*'Labor Data'!$K$9)+(L10*'Labor Data'!$K$11)+(M10*'Labor Data'!$K$8)</f>
        <v>217602.41921066621</v>
      </c>
      <c r="O10" s="74">
        <f>D10*F10*I10</f>
        <v>54420</v>
      </c>
      <c r="P10" s="82">
        <v>0</v>
      </c>
      <c r="Q10" s="136"/>
      <c r="R10" s="80" t="s">
        <v>1210</v>
      </c>
    </row>
    <row r="11" spans="2:20" s="73" customFormat="1" ht="9" x14ac:dyDescent="0.15">
      <c r="B11" s="130" t="s">
        <v>1253</v>
      </c>
      <c r="C11" s="468">
        <f>ROUND(2000/49.85,0)</f>
        <v>40</v>
      </c>
      <c r="D11" s="469">
        <f>'Other Cost Basis'!F15</f>
        <v>17</v>
      </c>
      <c r="E11" s="469"/>
      <c r="F11" s="81">
        <v>12</v>
      </c>
      <c r="G11" s="119">
        <f>C11*F11</f>
        <v>480</v>
      </c>
      <c r="H11" s="81">
        <v>0</v>
      </c>
      <c r="I11" s="83">
        <f>I10</f>
        <v>30</v>
      </c>
      <c r="J11" s="82">
        <f>G11*I11</f>
        <v>14400</v>
      </c>
      <c r="K11" s="82">
        <v>0</v>
      </c>
      <c r="L11" s="82">
        <v>0</v>
      </c>
      <c r="M11" s="82">
        <v>0</v>
      </c>
      <c r="N11" s="74">
        <f>(J11*'Labor Data'!$K$10)+(K11*'Labor Data'!$K$9)+(L11*'Labor Data'!$K$11)+(M11*'Labor Data'!$K$8)</f>
        <v>717897.6</v>
      </c>
      <c r="O11" s="74">
        <f>D11*F11*I11</f>
        <v>6120</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Respondants'!I4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Respondants'!J8</f>
        <v>4.5</v>
      </c>
      <c r="J17" s="82">
        <v>0</v>
      </c>
      <c r="K17" s="82">
        <f t="shared" si="1"/>
        <v>36</v>
      </c>
      <c r="L17" s="82">
        <f t="shared" si="2"/>
        <v>3.6</v>
      </c>
      <c r="M17" s="82">
        <f t="shared" si="3"/>
        <v>1.8</v>
      </c>
      <c r="N17" s="74">
        <f>(J17*'Labor Data'!$K$10)+(K17*'Labor Data'!$K$9)+(L17*'Labor Data'!$K$11)+(M17*'Labor Data'!$K$8)</f>
        <v>3418.4430000000002</v>
      </c>
      <c r="O17" s="74">
        <f t="shared" si="4"/>
        <v>0</v>
      </c>
      <c r="P17" s="82">
        <f t="shared" si="5"/>
        <v>4.5</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2">
        <f>IF('Annual # of Respondants'!J9&lt;0,0,'Annual # of Respondants'!J9)</f>
        <v>0</v>
      </c>
      <c r="J18" s="82">
        <v>0</v>
      </c>
      <c r="K18" s="82">
        <f t="shared" si="1"/>
        <v>0</v>
      </c>
      <c r="L18" s="82">
        <f t="shared" si="2"/>
        <v>0</v>
      </c>
      <c r="M18" s="82">
        <f t="shared" si="3"/>
        <v>0</v>
      </c>
      <c r="N18" s="74">
        <f>(J18*'Labor Data'!$K$10)+(K18*'Labor Data'!$K$9)+(L18*'Labor Data'!$K$11)+(M18*'Labor Data'!$K$8)</f>
        <v>0</v>
      </c>
      <c r="O18" s="74">
        <f>'2.A-Public'!O18+D18*F18*I18</f>
        <v>15959.109536118527</v>
      </c>
      <c r="P18" s="82">
        <f t="shared" si="5"/>
        <v>0</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I$9</f>
        <v>4</v>
      </c>
      <c r="J21" s="82">
        <v>0</v>
      </c>
      <c r="K21" s="82">
        <f t="shared" si="1"/>
        <v>320</v>
      </c>
      <c r="L21" s="82">
        <f t="shared" si="2"/>
        <v>32</v>
      </c>
      <c r="M21" s="82">
        <f t="shared" si="3"/>
        <v>16</v>
      </c>
      <c r="N21" s="74">
        <f>(J21*'Labor Data'!$K$10)+(K21*'Labor Data'!$K$9)+(L21*'Labor Data'!$K$11)+(M21*'Labor Data'!$K$8)</f>
        <v>30386.160000000003</v>
      </c>
      <c r="O21" s="74">
        <f t="shared" si="4"/>
        <v>0</v>
      </c>
      <c r="P21" s="82">
        <f t="shared" si="5"/>
        <v>4</v>
      </c>
      <c r="Q21" s="136"/>
      <c r="R21" s="80" t="s">
        <v>99</v>
      </c>
      <c r="S21" s="87"/>
    </row>
    <row r="22" spans="2:19" s="73" customFormat="1" ht="9" x14ac:dyDescent="0.15">
      <c r="B22" s="127" t="s">
        <v>1169</v>
      </c>
      <c r="C22" s="466">
        <v>20</v>
      </c>
      <c r="D22" s="74">
        <v>0</v>
      </c>
      <c r="E22" s="74"/>
      <c r="F22" s="81">
        <v>1</v>
      </c>
      <c r="G22" s="81">
        <v>0</v>
      </c>
      <c r="H22" s="81">
        <f t="shared" si="0"/>
        <v>20</v>
      </c>
      <c r="I22" s="83">
        <f>I21*0.1</f>
        <v>0.4</v>
      </c>
      <c r="J22" s="82">
        <v>0</v>
      </c>
      <c r="K22" s="82">
        <f t="shared" si="1"/>
        <v>8</v>
      </c>
      <c r="L22" s="82">
        <f t="shared" si="2"/>
        <v>0.8</v>
      </c>
      <c r="M22" s="82">
        <f t="shared" si="3"/>
        <v>0.4</v>
      </c>
      <c r="N22" s="74">
        <f>(J22*'Labor Data'!$K$10)+(K22*'Labor Data'!$K$9)+(L22*'Labor Data'!$K$11)+(M22*'Labor Data'!$K$8)</f>
        <v>759.654</v>
      </c>
      <c r="O22" s="74">
        <f t="shared" si="4"/>
        <v>0</v>
      </c>
      <c r="P22" s="82">
        <f t="shared" si="5"/>
        <v>0.4</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'Annual # of Respondants'!J6</f>
        <v>30</v>
      </c>
      <c r="J25" s="82">
        <v>0</v>
      </c>
      <c r="K25" s="82">
        <f>H25*I25</f>
        <v>810</v>
      </c>
      <c r="L25" s="82">
        <f>K25*0.1</f>
        <v>81</v>
      </c>
      <c r="M25" s="82">
        <f>K25*0.05</f>
        <v>40.5</v>
      </c>
      <c r="N25" s="74">
        <f>(J25*'Labor Data'!$K$10)+(K25*'Labor Data'!$K$9)+(L25*'Labor Data'!$K$11)+(M25*'Labor Data'!$K$8)</f>
        <v>76914.967500000013</v>
      </c>
      <c r="O25" s="74">
        <f>D25*F25*I25</f>
        <v>0</v>
      </c>
      <c r="P25" s="82">
        <f>F25*I25</f>
        <v>30</v>
      </c>
      <c r="Q25" s="136"/>
      <c r="R25" s="80" t="s">
        <v>1160</v>
      </c>
      <c r="S25" s="87"/>
    </row>
    <row r="26" spans="2:19" s="73" customFormat="1" ht="9" x14ac:dyDescent="0.15">
      <c r="B26" s="86" t="s">
        <v>74</v>
      </c>
      <c r="C26" s="81"/>
      <c r="D26" s="74"/>
      <c r="E26" s="74"/>
      <c r="F26" s="81"/>
      <c r="G26" s="81"/>
      <c r="H26" s="81"/>
      <c r="I26" s="83"/>
      <c r="J26" s="82">
        <f t="shared" ref="J26:O26" si="6">SUM(J7:J25)</f>
        <v>18764.793581471218</v>
      </c>
      <c r="K26" s="82">
        <f t="shared" si="6"/>
        <v>1222</v>
      </c>
      <c r="L26" s="82">
        <f t="shared" si="6"/>
        <v>122.19999999999999</v>
      </c>
      <c r="M26" s="82">
        <f t="shared" si="6"/>
        <v>61.099999999999994</v>
      </c>
      <c r="N26" s="74">
        <f t="shared" si="6"/>
        <v>1051537.1677106661</v>
      </c>
      <c r="O26" s="74">
        <f t="shared" si="6"/>
        <v>166008.89407031107</v>
      </c>
      <c r="P26" s="82">
        <f>SUM(P15:P25)+P9</f>
        <v>42.9</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30</v>
      </c>
      <c r="J33" s="82">
        <v>0</v>
      </c>
      <c r="K33" s="82">
        <f>H33*I33</f>
        <v>1800</v>
      </c>
      <c r="L33" s="82">
        <f>K33*0.1</f>
        <v>180</v>
      </c>
      <c r="M33" s="82">
        <f>K33*0.05</f>
        <v>90</v>
      </c>
      <c r="N33" s="74">
        <f>(J33*'Labor Data'!$K$10)+(K33*'Labor Data'!$K$9)+(L33*'Labor Data'!$K$11)+(M33*'Labor Data'!$K$8)</f>
        <v>170922.15000000002</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30</v>
      </c>
      <c r="J34" s="82">
        <v>0</v>
      </c>
      <c r="K34" s="82">
        <f>H34*I34</f>
        <v>3960</v>
      </c>
      <c r="L34" s="82">
        <f>K34*0.1</f>
        <v>396</v>
      </c>
      <c r="M34" s="82">
        <f>K34*0.05</f>
        <v>198</v>
      </c>
      <c r="N34" s="74">
        <f>(J34*'Labor Data'!$K$10)+(K34*'Labor Data'!$K$9)+(L34*'Labor Data'!$K$11)+(M34*'Labor Data'!$K$8)</f>
        <v>376028.73000000004</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Respondants'!J5-I34</f>
        <v>15</v>
      </c>
      <c r="J35" s="82">
        <v>0</v>
      </c>
      <c r="K35" s="82">
        <f>H35*I35</f>
        <v>60</v>
      </c>
      <c r="L35" s="82">
        <f>K35*0.1</f>
        <v>6</v>
      </c>
      <c r="M35" s="82">
        <f>K35*0.05</f>
        <v>3</v>
      </c>
      <c r="N35" s="74">
        <f>(J35*'Labor Data'!$K$10)+(K35*'Labor Data'!$K$9)+(L35*'Labor Data'!$K$11)+(M35*'Labor Data'!$K$8)</f>
        <v>5697.4049999999997</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5820</v>
      </c>
      <c r="L38" s="76">
        <f t="shared" si="7"/>
        <v>582</v>
      </c>
      <c r="M38" s="76">
        <f t="shared" si="7"/>
        <v>291</v>
      </c>
      <c r="N38" s="77">
        <f t="shared" si="7"/>
        <v>552648.28500000015</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18764.793581471218</v>
      </c>
      <c r="K39" s="67">
        <f t="shared" si="8"/>
        <v>7042</v>
      </c>
      <c r="L39" s="67">
        <f t="shared" si="8"/>
        <v>704.2</v>
      </c>
      <c r="M39" s="67">
        <f t="shared" si="8"/>
        <v>352.1</v>
      </c>
      <c r="N39" s="68">
        <f t="shared" si="8"/>
        <v>1604185.4527106662</v>
      </c>
      <c r="O39" s="68">
        <f>O26+O38</f>
        <v>166008.89407031107</v>
      </c>
      <c r="P39" s="67">
        <f>P26+P38</f>
        <v>42.9</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62" customFormat="1" ht="9" customHeight="1" x14ac:dyDescent="0.15">
      <c r="A42" s="121" t="s">
        <v>75</v>
      </c>
      <c r="B42" s="359" t="s">
        <v>1257</v>
      </c>
    </row>
    <row r="43" spans="1:19" s="62" customFormat="1" ht="19.5" customHeight="1" x14ac:dyDescent="0.15">
      <c r="A43" s="121" t="s">
        <v>97</v>
      </c>
      <c r="B43" s="494" t="s">
        <v>1232</v>
      </c>
      <c r="C43" s="494"/>
      <c r="D43" s="494"/>
      <c r="E43" s="494"/>
      <c r="F43" s="494"/>
      <c r="G43" s="494"/>
      <c r="H43" s="494"/>
      <c r="I43" s="494"/>
      <c r="J43" s="494"/>
      <c r="K43" s="494"/>
      <c r="L43" s="494"/>
      <c r="M43" s="494"/>
      <c r="N43" s="494"/>
      <c r="O43" s="494"/>
      <c r="P43" s="494"/>
      <c r="Q43" s="494"/>
      <c r="R43" s="494"/>
    </row>
    <row r="44" spans="1:19" s="62" customFormat="1" ht="9" customHeight="1" x14ac:dyDescent="0.15">
      <c r="A44" s="121" t="s">
        <v>65</v>
      </c>
      <c r="B44" s="116" t="s">
        <v>842</v>
      </c>
    </row>
    <row r="45" spans="1:19" s="62" customFormat="1" ht="9" x14ac:dyDescent="0.15">
      <c r="A45" s="121" t="s">
        <v>98</v>
      </c>
      <c r="B45" s="116" t="s">
        <v>1228</v>
      </c>
      <c r="C45" s="463"/>
      <c r="D45" s="463"/>
      <c r="E45" s="463"/>
      <c r="F45" s="463"/>
      <c r="G45" s="463"/>
      <c r="H45" s="463"/>
      <c r="I45" s="463"/>
      <c r="J45" s="463"/>
      <c r="K45" s="463"/>
      <c r="L45" s="463"/>
      <c r="M45" s="463"/>
      <c r="N45" s="463"/>
      <c r="O45" s="463"/>
      <c r="P45" s="463"/>
      <c r="Q45" s="463"/>
      <c r="R45" s="463"/>
    </row>
    <row r="46" spans="1:19" s="62" customFormat="1" ht="26.25" customHeight="1" x14ac:dyDescent="0.15">
      <c r="A46" s="121" t="s">
        <v>67</v>
      </c>
      <c r="B46" s="494" t="s">
        <v>1265</v>
      </c>
      <c r="C46" s="494"/>
      <c r="D46" s="494"/>
      <c r="E46" s="494"/>
      <c r="F46" s="494"/>
      <c r="G46" s="494"/>
      <c r="H46" s="494"/>
      <c r="I46" s="494"/>
      <c r="J46" s="494"/>
      <c r="K46" s="494"/>
      <c r="L46" s="494"/>
      <c r="M46" s="494"/>
      <c r="N46" s="494"/>
      <c r="O46" s="494"/>
      <c r="P46" s="494"/>
      <c r="Q46" s="494"/>
      <c r="R46" s="494"/>
      <c r="S46" s="494"/>
    </row>
    <row r="47" spans="1:19" s="62" customFormat="1" ht="9" x14ac:dyDescent="0.15">
      <c r="A47" s="121" t="s">
        <v>99</v>
      </c>
      <c r="B47" s="62" t="s">
        <v>1212</v>
      </c>
    </row>
    <row r="48" spans="1:19" s="62" customFormat="1" ht="39" customHeight="1" x14ac:dyDescent="0.15">
      <c r="A48" s="121" t="s">
        <v>100</v>
      </c>
      <c r="B48" s="494" t="s">
        <v>1274</v>
      </c>
      <c r="C48" s="494"/>
      <c r="D48" s="494"/>
      <c r="E48" s="494"/>
      <c r="F48" s="494"/>
      <c r="G48" s="494"/>
      <c r="H48" s="494"/>
      <c r="I48" s="494"/>
      <c r="J48" s="494"/>
      <c r="K48" s="494"/>
      <c r="L48" s="494"/>
      <c r="M48" s="494"/>
      <c r="N48" s="494"/>
      <c r="O48" s="494"/>
      <c r="P48" s="494"/>
      <c r="Q48" s="494"/>
      <c r="R48" s="494"/>
      <c r="S48" s="494"/>
    </row>
    <row r="49" spans="1:18" s="62" customFormat="1" ht="9" x14ac:dyDescent="0.15">
      <c r="A49" s="121" t="s">
        <v>101</v>
      </c>
      <c r="B49" s="494" t="s">
        <v>1222</v>
      </c>
      <c r="C49" s="494"/>
      <c r="D49" s="494"/>
      <c r="E49" s="494"/>
      <c r="F49" s="494"/>
      <c r="G49" s="494"/>
      <c r="H49" s="494"/>
      <c r="I49" s="494"/>
      <c r="J49" s="494"/>
      <c r="K49" s="494"/>
      <c r="L49" s="494"/>
      <c r="M49" s="494"/>
      <c r="N49" s="494"/>
      <c r="O49" s="494"/>
      <c r="P49" s="494"/>
      <c r="Q49" s="494"/>
      <c r="R49" s="494"/>
    </row>
    <row r="50" spans="1:18" s="62" customFormat="1" ht="9" customHeight="1" x14ac:dyDescent="0.15">
      <c r="A50" s="121" t="s">
        <v>102</v>
      </c>
      <c r="B50" s="366" t="s">
        <v>1224</v>
      </c>
      <c r="C50" s="123"/>
      <c r="D50" s="123"/>
      <c r="E50" s="123"/>
      <c r="F50" s="123"/>
      <c r="G50" s="123"/>
      <c r="H50" s="123"/>
      <c r="I50" s="123"/>
      <c r="J50" s="123"/>
      <c r="K50" s="123"/>
      <c r="L50" s="123"/>
      <c r="M50" s="123"/>
      <c r="P50" s="61"/>
      <c r="Q50" s="61"/>
      <c r="R50" s="63"/>
    </row>
    <row r="51" spans="1:18" s="62" customFormat="1" ht="9" x14ac:dyDescent="0.15">
      <c r="A51" s="121" t="s">
        <v>103</v>
      </c>
      <c r="B51" s="62" t="s">
        <v>1201</v>
      </c>
      <c r="C51" s="63"/>
      <c r="D51" s="63"/>
      <c r="E51" s="63"/>
      <c r="F51" s="63"/>
      <c r="G51" s="63"/>
      <c r="H51" s="63"/>
      <c r="I51" s="64"/>
      <c r="J51" s="63"/>
      <c r="K51" s="63"/>
      <c r="L51" s="63"/>
      <c r="M51" s="63"/>
      <c r="P51" s="61"/>
      <c r="Q51" s="61"/>
      <c r="R51" s="63"/>
    </row>
    <row r="52" spans="1:18" s="62" customFormat="1" ht="9" customHeight="1" x14ac:dyDescent="0.15">
      <c r="A52" s="121" t="s">
        <v>63</v>
      </c>
      <c r="B52" s="360" t="s">
        <v>1266</v>
      </c>
      <c r="C52" s="63"/>
      <c r="D52" s="63"/>
      <c r="E52" s="63"/>
      <c r="F52" s="63"/>
      <c r="G52" s="63"/>
      <c r="H52" s="63"/>
      <c r="I52" s="64"/>
      <c r="J52" s="63"/>
      <c r="K52" s="63"/>
      <c r="L52" s="63"/>
      <c r="M52" s="63"/>
      <c r="P52" s="61"/>
      <c r="Q52" s="61"/>
      <c r="R52" s="63"/>
    </row>
    <row r="53" spans="1:18" s="62" customFormat="1" ht="9" x14ac:dyDescent="0.15">
      <c r="A53" s="121" t="s">
        <v>104</v>
      </c>
      <c r="B53" s="116" t="s">
        <v>108</v>
      </c>
      <c r="C53" s="63"/>
      <c r="D53" s="63"/>
      <c r="E53" s="63"/>
      <c r="F53" s="63"/>
      <c r="G53" s="63"/>
      <c r="H53" s="63"/>
      <c r="I53" s="64"/>
      <c r="J53" s="63"/>
      <c r="K53" s="63"/>
      <c r="L53" s="63"/>
      <c r="M53" s="63"/>
      <c r="P53" s="61"/>
      <c r="Q53" s="61"/>
      <c r="R53" s="63"/>
    </row>
    <row r="54" spans="1:18" s="62" customFormat="1" ht="9" x14ac:dyDescent="0.15">
      <c r="A54" s="121" t="s">
        <v>105</v>
      </c>
      <c r="B54" s="62" t="s">
        <v>841</v>
      </c>
      <c r="P54" s="61"/>
      <c r="Q54" s="61"/>
      <c r="R54" s="63"/>
    </row>
    <row r="55" spans="1:18" s="62" customFormat="1" ht="9" x14ac:dyDescent="0.15">
      <c r="A55" s="121" t="s">
        <v>107</v>
      </c>
      <c r="B55" s="62" t="s">
        <v>1158</v>
      </c>
      <c r="P55" s="61"/>
      <c r="Q55" s="61"/>
      <c r="R55" s="63"/>
    </row>
    <row r="56" spans="1:18" s="62" customFormat="1" ht="18.75" customHeight="1" x14ac:dyDescent="0.15">
      <c r="A56" s="358" t="s">
        <v>1160</v>
      </c>
      <c r="B56" s="494" t="s">
        <v>1272</v>
      </c>
      <c r="C56" s="494"/>
      <c r="D56" s="494"/>
      <c r="E56" s="494"/>
      <c r="F56" s="494"/>
      <c r="G56" s="494"/>
      <c r="H56" s="494"/>
      <c r="I56" s="494"/>
      <c r="J56" s="494"/>
      <c r="K56" s="494"/>
      <c r="L56" s="494"/>
      <c r="M56" s="494"/>
      <c r="N56" s="494"/>
      <c r="O56" s="494"/>
      <c r="P56" s="494"/>
      <c r="Q56" s="494"/>
      <c r="R56" s="494"/>
    </row>
    <row r="57" spans="1:18" s="62" customFormat="1" ht="18.75" customHeight="1" x14ac:dyDescent="0.15">
      <c r="A57" s="358" t="s">
        <v>1159</v>
      </c>
      <c r="B57" s="494" t="s">
        <v>1273</v>
      </c>
      <c r="C57" s="494"/>
      <c r="D57" s="494"/>
      <c r="E57" s="494"/>
      <c r="F57" s="494"/>
      <c r="G57" s="494"/>
      <c r="H57" s="494"/>
      <c r="I57" s="494"/>
      <c r="J57" s="494"/>
      <c r="K57" s="494"/>
      <c r="L57" s="494"/>
      <c r="M57" s="494"/>
      <c r="N57" s="494"/>
      <c r="O57" s="494"/>
      <c r="P57" s="494"/>
      <c r="Q57" s="494"/>
      <c r="R57" s="494"/>
    </row>
    <row r="58" spans="1:18" s="62" customFormat="1" ht="9" x14ac:dyDescent="0.15">
      <c r="A58" s="358" t="s">
        <v>1262</v>
      </c>
      <c r="B58" s="116" t="s">
        <v>1300</v>
      </c>
      <c r="C58" s="463"/>
      <c r="D58" s="463"/>
      <c r="E58" s="463"/>
      <c r="F58" s="463"/>
      <c r="G58" s="463"/>
      <c r="H58" s="463"/>
      <c r="I58" s="463"/>
      <c r="J58" s="463"/>
      <c r="K58" s="463"/>
      <c r="L58" s="463"/>
      <c r="M58" s="463"/>
      <c r="N58" s="463"/>
      <c r="O58" s="463"/>
      <c r="P58" s="463"/>
      <c r="Q58" s="463"/>
    </row>
    <row r="59" spans="1:18" s="62" customFormat="1" ht="9" x14ac:dyDescent="0.15">
      <c r="R59" s="63"/>
    </row>
    <row r="60" spans="1:18" s="62" customFormat="1" ht="9" x14ac:dyDescent="0.15">
      <c r="C60" s="63"/>
      <c r="D60" s="63"/>
      <c r="E60" s="63"/>
      <c r="F60" s="63"/>
      <c r="G60" s="63"/>
      <c r="H60" s="63"/>
      <c r="I60" s="64"/>
      <c r="J60" s="63"/>
      <c r="K60" s="63"/>
      <c r="L60" s="63"/>
      <c r="M60" s="63"/>
      <c r="N60" s="63"/>
      <c r="O60" s="61"/>
      <c r="P60" s="61"/>
      <c r="Q60" s="61"/>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x14ac:dyDescent="0.2">
      <c r="C76" s="63"/>
      <c r="D76" s="63"/>
      <c r="E76" s="63"/>
      <c r="F76" s="63"/>
      <c r="G76" s="63"/>
      <c r="H76" s="63"/>
      <c r="I76" s="64"/>
      <c r="J76" s="63"/>
      <c r="K76" s="63"/>
      <c r="L76" s="63"/>
      <c r="M76" s="63"/>
      <c r="N76" s="63"/>
      <c r="O76" s="61"/>
      <c r="P76" s="61"/>
      <c r="Q76" s="61"/>
      <c r="R76" s="58"/>
    </row>
    <row r="77" spans="3:18" s="62" customFormat="1" x14ac:dyDescent="0.2">
      <c r="C77" s="63"/>
      <c r="D77" s="63"/>
      <c r="E77" s="63"/>
      <c r="F77" s="63"/>
      <c r="G77" s="58"/>
      <c r="H77" s="63"/>
      <c r="I77" s="64"/>
      <c r="J77" s="58"/>
      <c r="K77" s="63"/>
      <c r="L77" s="63"/>
      <c r="M77" s="63"/>
      <c r="N77" s="63"/>
      <c r="O77" s="61"/>
      <c r="P77" s="61"/>
      <c r="Q77" s="61"/>
      <c r="R77" s="58"/>
    </row>
    <row r="78" spans="3:18" x14ac:dyDescent="0.2">
      <c r="P78" s="61"/>
      <c r="Q78" s="61"/>
    </row>
    <row r="79" spans="3:18" x14ac:dyDescent="0.2">
      <c r="P79" s="61"/>
      <c r="Q79" s="61"/>
    </row>
  </sheetData>
  <mergeCells count="20">
    <mergeCell ref="B46:S46"/>
    <mergeCell ref="B57:R57"/>
    <mergeCell ref="B56:R56"/>
    <mergeCell ref="C4:D4"/>
    <mergeCell ref="B1:R1"/>
    <mergeCell ref="B2:R2"/>
    <mergeCell ref="B49:R49"/>
    <mergeCell ref="B43:R43"/>
    <mergeCell ref="C5:D5"/>
    <mergeCell ref="C12:D12"/>
    <mergeCell ref="C13:D13"/>
    <mergeCell ref="C23:D23"/>
    <mergeCell ref="C24:D24"/>
    <mergeCell ref="C28:D28"/>
    <mergeCell ref="C29:D29"/>
    <mergeCell ref="C30:D30"/>
    <mergeCell ref="C31:D31"/>
    <mergeCell ref="C36:D36"/>
    <mergeCell ref="C37:D37"/>
    <mergeCell ref="B48:S48"/>
  </mergeCells>
  <pageMargins left="0.25" right="0.25" top="0.5" bottom="0.5" header="0.5" footer="0.5"/>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145" zoomScaleNormal="145" workbookViewId="0">
      <pane xSplit="9" ySplit="2" topLeftCell="J4" activePane="bottomRight" state="frozen"/>
      <selection activeCell="A4" sqref="A4:XFD4"/>
      <selection pane="topRight" activeCell="A4" sqref="A4:XFD4"/>
      <selection pane="bottomLeft" activeCell="A4" sqref="A4:XFD4"/>
      <selection pane="bottomRight" activeCell="D18" sqref="D18"/>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0" x14ac:dyDescent="0.2">
      <c r="B1" s="493" t="s">
        <v>1242</v>
      </c>
      <c r="C1" s="493"/>
      <c r="D1" s="493"/>
      <c r="E1" s="493"/>
      <c r="F1" s="493"/>
      <c r="G1" s="493"/>
      <c r="H1" s="493"/>
      <c r="I1" s="493"/>
      <c r="J1" s="493"/>
      <c r="K1" s="493"/>
      <c r="L1" s="493"/>
      <c r="M1" s="493"/>
      <c r="N1" s="493"/>
      <c r="O1" s="493"/>
      <c r="P1" s="493"/>
      <c r="Q1" s="493"/>
      <c r="R1" s="493"/>
    </row>
    <row r="2" spans="2:20" x14ac:dyDescent="0.2">
      <c r="B2" s="495" t="s">
        <v>1190</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Respondants'!K3</f>
        <v>0</v>
      </c>
      <c r="J7" s="82">
        <v>0</v>
      </c>
      <c r="K7" s="82">
        <f>H7*I7</f>
        <v>0</v>
      </c>
      <c r="L7" s="82">
        <f>K7*0.1</f>
        <v>0</v>
      </c>
      <c r="M7" s="83">
        <f>K7*0.05</f>
        <v>0</v>
      </c>
      <c r="N7" s="74">
        <f>(J7*'Labor Data'!$K$10)+(K7*'Labor Data'!$K$9)+(L7*'Labor Data'!$K$11)+(M7*'Labor Data'!$K$8)</f>
        <v>0</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c r="T8" s="88"/>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Respondants'!K12</f>
        <v>9</v>
      </c>
      <c r="J9" s="82">
        <v>0</v>
      </c>
      <c r="K9" s="82">
        <f>H9*I9</f>
        <v>108</v>
      </c>
      <c r="L9" s="82">
        <f>K9*0.1</f>
        <v>10.8</v>
      </c>
      <c r="M9" s="82">
        <f>K9*0.05</f>
        <v>5.4</v>
      </c>
      <c r="N9" s="74">
        <f>(J9*'Labor Data'!$K$10)+(K9*'Labor Data'!$K$9)+(L9*'Labor Data'!$K$11)+(M9*'Labor Data'!$K$8)</f>
        <v>10255.329000000002</v>
      </c>
      <c r="O9" s="74">
        <f>'2.B-Priv'!O9+(D9+E9)*F9*I9</f>
        <v>259578.37514915838</v>
      </c>
      <c r="P9" s="82">
        <f>F9*I9</f>
        <v>9</v>
      </c>
      <c r="Q9" s="136">
        <f>'Other Cost Basis'!B2+'Other Cost Basis'!B17+'Other Cost Basis'!B18+'Other Cost Basis'!B19</f>
        <v>18067</v>
      </c>
      <c r="R9" s="80" t="s">
        <v>106</v>
      </c>
      <c r="T9" s="88"/>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Respondants'!K6</f>
        <v>87</v>
      </c>
      <c r="J10" s="82">
        <f>G10*I10</f>
        <v>12657.901386266538</v>
      </c>
      <c r="K10" s="82">
        <v>0</v>
      </c>
      <c r="L10" s="82">
        <v>0</v>
      </c>
      <c r="M10" s="82">
        <v>0</v>
      </c>
      <c r="N10" s="74">
        <f>(J10*'Labor Data'!$K$10)+(K10*'Labor Data'!$K$9)+(L10*'Labor Data'!$K$11)+(M10*'Labor Data'!$K$8)</f>
        <v>631047.01571093197</v>
      </c>
      <c r="O10" s="74">
        <f>D10*F10*I10</f>
        <v>157818</v>
      </c>
      <c r="P10" s="82">
        <v>0</v>
      </c>
      <c r="Q10" s="136"/>
      <c r="R10" s="80" t="s">
        <v>1210</v>
      </c>
      <c r="T10" s="88"/>
    </row>
    <row r="11" spans="2:20" s="73" customFormat="1" ht="9" x14ac:dyDescent="0.15">
      <c r="B11" s="130" t="s">
        <v>1253</v>
      </c>
      <c r="C11" s="468">
        <f>ROUND(2000/49.85,0)</f>
        <v>40</v>
      </c>
      <c r="D11" s="469">
        <f>'Other Cost Basis'!F15</f>
        <v>17</v>
      </c>
      <c r="E11" s="469"/>
      <c r="F11" s="81">
        <v>12</v>
      </c>
      <c r="G11" s="119">
        <f>C11*F11</f>
        <v>480</v>
      </c>
      <c r="H11" s="81">
        <v>0</v>
      </c>
      <c r="I11" s="83">
        <f>I10</f>
        <v>87</v>
      </c>
      <c r="J11" s="82">
        <f>G11*I11</f>
        <v>41760</v>
      </c>
      <c r="K11" s="82">
        <v>0</v>
      </c>
      <c r="L11" s="82">
        <v>0</v>
      </c>
      <c r="M11" s="82">
        <v>0</v>
      </c>
      <c r="N11" s="74">
        <f>(J11*'Labor Data'!$K$10)+(K11*'Labor Data'!$K$9)+(L11*'Labor Data'!$K$11)+(M11*'Labor Data'!$K$8)</f>
        <v>2081903.04</v>
      </c>
      <c r="O11" s="74">
        <f>D11*F11*I11</f>
        <v>17748</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c r="T12" s="88"/>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Respondants'!K4</f>
        <v>0</v>
      </c>
      <c r="J15" s="82">
        <v>0</v>
      </c>
      <c r="K15" s="82">
        <f t="shared" ref="K15:K22" si="1">H15*I15</f>
        <v>0</v>
      </c>
      <c r="L15" s="82">
        <f t="shared" ref="L15:L22" si="2">K15*0.1</f>
        <v>0</v>
      </c>
      <c r="M15" s="82">
        <f t="shared" ref="M15:M22" si="3">K15*0.05</f>
        <v>0</v>
      </c>
      <c r="N15" s="74">
        <f>(J15*'Labor Data'!$K$10)+(K15*'Labor Data'!$K$9)+(L15*'Labor Data'!$K$11)+(M15*'Labor Data'!$K$8)</f>
        <v>0</v>
      </c>
      <c r="O15" s="74">
        <f t="shared" ref="O15:O22" si="4">D15*F15*I15</f>
        <v>0</v>
      </c>
      <c r="P15" s="82">
        <f t="shared" ref="P15:P22" si="5">F15*I15</f>
        <v>0</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Respondants'!K8</f>
        <v>7</v>
      </c>
      <c r="J17" s="82">
        <v>0</v>
      </c>
      <c r="K17" s="82">
        <f t="shared" si="1"/>
        <v>56</v>
      </c>
      <c r="L17" s="82">
        <f t="shared" si="2"/>
        <v>5.6000000000000005</v>
      </c>
      <c r="M17" s="82">
        <f t="shared" si="3"/>
        <v>2.8000000000000003</v>
      </c>
      <c r="N17" s="74">
        <f>(J17*'Labor Data'!$K$10)+(K17*'Labor Data'!$K$9)+(L17*'Labor Data'!$K$11)+(M17*'Labor Data'!$K$8)</f>
        <v>5317.5780000000004</v>
      </c>
      <c r="O17" s="74">
        <f t="shared" si="4"/>
        <v>0</v>
      </c>
      <c r="P17" s="82">
        <f t="shared" si="5"/>
        <v>7</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2">
        <f>IF('Annual # of Respondants'!K9&lt;0,0,'Annual # of Respondants'!K9)</f>
        <v>0</v>
      </c>
      <c r="J18" s="82">
        <v>0</v>
      </c>
      <c r="K18" s="82">
        <f t="shared" si="1"/>
        <v>0</v>
      </c>
      <c r="L18" s="82">
        <f t="shared" si="2"/>
        <v>0</v>
      </c>
      <c r="M18" s="82">
        <f t="shared" si="3"/>
        <v>0</v>
      </c>
      <c r="N18" s="74">
        <f>(J18*'Labor Data'!$K$10)+(K18*'Labor Data'!$K$9)+(L18*'Labor Data'!$K$11)+(M18*'Labor Data'!$K$8)</f>
        <v>0</v>
      </c>
      <c r="O18" s="74">
        <f>'2.B-Priv'!O18+D18*F18*I18</f>
        <v>28235.347640825086</v>
      </c>
      <c r="P18" s="82">
        <f t="shared" si="5"/>
        <v>0</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I$9</f>
        <v>9</v>
      </c>
      <c r="J21" s="82">
        <v>0</v>
      </c>
      <c r="K21" s="82">
        <f t="shared" si="1"/>
        <v>720</v>
      </c>
      <c r="L21" s="82">
        <f t="shared" si="2"/>
        <v>72</v>
      </c>
      <c r="M21" s="82">
        <f t="shared" si="3"/>
        <v>36</v>
      </c>
      <c r="N21" s="74">
        <f>(J21*'Labor Data'!$K$10)+(K21*'Labor Data'!$K$9)+(L21*'Labor Data'!$K$11)+(M21*'Labor Data'!$K$8)</f>
        <v>68368.860000000015</v>
      </c>
      <c r="O21" s="74">
        <f t="shared" si="4"/>
        <v>0</v>
      </c>
      <c r="P21" s="82">
        <f t="shared" si="5"/>
        <v>9</v>
      </c>
      <c r="Q21" s="136"/>
      <c r="R21" s="80" t="s">
        <v>99</v>
      </c>
      <c r="S21" s="87"/>
    </row>
    <row r="22" spans="2:19" s="73" customFormat="1" ht="9" x14ac:dyDescent="0.15">
      <c r="B22" s="127" t="s">
        <v>1169</v>
      </c>
      <c r="C22" s="466">
        <v>20</v>
      </c>
      <c r="D22" s="74">
        <v>0</v>
      </c>
      <c r="E22" s="74"/>
      <c r="F22" s="81">
        <v>1</v>
      </c>
      <c r="G22" s="81">
        <v>0</v>
      </c>
      <c r="H22" s="81">
        <f t="shared" si="0"/>
        <v>20</v>
      </c>
      <c r="I22" s="83">
        <f>I21*0.1</f>
        <v>0.9</v>
      </c>
      <c r="J22" s="82">
        <v>0</v>
      </c>
      <c r="K22" s="82">
        <f t="shared" si="1"/>
        <v>18</v>
      </c>
      <c r="L22" s="82">
        <f t="shared" si="2"/>
        <v>1.8</v>
      </c>
      <c r="M22" s="82">
        <f t="shared" si="3"/>
        <v>0.9</v>
      </c>
      <c r="N22" s="74">
        <f>(J22*'Labor Data'!$K$10)+(K22*'Labor Data'!$K$9)+(L22*'Labor Data'!$K$11)+(M22*'Labor Data'!$K$8)</f>
        <v>1709.2215000000001</v>
      </c>
      <c r="O22" s="74">
        <f t="shared" si="4"/>
        <v>0</v>
      </c>
      <c r="P22" s="82">
        <f t="shared" si="5"/>
        <v>0.9</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'Annual # of Respondants'!K6</f>
        <v>87</v>
      </c>
      <c r="J25" s="82">
        <v>0</v>
      </c>
      <c r="K25" s="82">
        <f>H25*I25</f>
        <v>2349</v>
      </c>
      <c r="L25" s="82">
        <f>K25*0.1</f>
        <v>234.9</v>
      </c>
      <c r="M25" s="82">
        <f>K25*0.05</f>
        <v>117.45</v>
      </c>
      <c r="N25" s="74">
        <f>(J25*'Labor Data'!$K$10)+(K25*'Labor Data'!$K$9)+(L25*'Labor Data'!$K$11)+(M25*'Labor Data'!$K$8)</f>
        <v>223053.40575000001</v>
      </c>
      <c r="O25" s="74">
        <f>D25*F25*I25</f>
        <v>0</v>
      </c>
      <c r="P25" s="82">
        <f>F25*I25</f>
        <v>87</v>
      </c>
      <c r="Q25" s="136"/>
      <c r="R25" s="80" t="s">
        <v>1160</v>
      </c>
      <c r="S25" s="87"/>
    </row>
    <row r="26" spans="2:19" s="73" customFormat="1" ht="9" x14ac:dyDescent="0.15">
      <c r="B26" s="86" t="s">
        <v>74</v>
      </c>
      <c r="C26" s="81"/>
      <c r="D26" s="74"/>
      <c r="E26" s="74"/>
      <c r="F26" s="81"/>
      <c r="G26" s="81"/>
      <c r="H26" s="81"/>
      <c r="I26" s="83"/>
      <c r="J26" s="82">
        <f t="shared" ref="J26:O26" si="6">SUM(J7:J25)</f>
        <v>54417.901386266538</v>
      </c>
      <c r="K26" s="82">
        <f t="shared" si="6"/>
        <v>3251</v>
      </c>
      <c r="L26" s="82">
        <f t="shared" si="6"/>
        <v>325.10000000000002</v>
      </c>
      <c r="M26" s="82">
        <f t="shared" si="6"/>
        <v>162.55000000000001</v>
      </c>
      <c r="N26" s="74">
        <f t="shared" si="6"/>
        <v>3021654.4499609321</v>
      </c>
      <c r="O26" s="74">
        <f t="shared" si="6"/>
        <v>463379.7227899835</v>
      </c>
      <c r="P26" s="82">
        <f>SUM(P15:P25)+P9</f>
        <v>112.9</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87</v>
      </c>
      <c r="J33" s="82">
        <v>0</v>
      </c>
      <c r="K33" s="82">
        <f>H33*I33</f>
        <v>5220</v>
      </c>
      <c r="L33" s="82">
        <f>K33*0.1</f>
        <v>522</v>
      </c>
      <c r="M33" s="82">
        <f>K33*0.05</f>
        <v>261</v>
      </c>
      <c r="N33" s="74">
        <f>(J33*'Labor Data'!$K$10)+(K33*'Labor Data'!$K$9)+(L33*'Labor Data'!$K$11)+(M33*'Labor Data'!$K$8)</f>
        <v>495674.23500000004</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87</v>
      </c>
      <c r="J34" s="82">
        <v>0</v>
      </c>
      <c r="K34" s="82">
        <f>H34*I34</f>
        <v>11484</v>
      </c>
      <c r="L34" s="82">
        <f>K34*0.1</f>
        <v>1148.4000000000001</v>
      </c>
      <c r="M34" s="82">
        <f>K34*0.05</f>
        <v>574.20000000000005</v>
      </c>
      <c r="N34" s="74">
        <f>(J34*'Labor Data'!$K$10)+(K34*'Labor Data'!$K$9)+(L34*'Labor Data'!$K$11)+(M34*'Labor Data'!$K$8)</f>
        <v>1090483.317</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Respondants'!K5-I34</f>
        <v>15</v>
      </c>
      <c r="J35" s="82">
        <v>0</v>
      </c>
      <c r="K35" s="82">
        <f>H35*I35</f>
        <v>60</v>
      </c>
      <c r="L35" s="82">
        <f>K35*0.1</f>
        <v>6</v>
      </c>
      <c r="M35" s="82">
        <f>K35*0.05</f>
        <v>3</v>
      </c>
      <c r="N35" s="74">
        <f>(J35*'Labor Data'!$K$10)+(K35*'Labor Data'!$K$9)+(L35*'Labor Data'!$K$11)+(M35*'Labor Data'!$K$8)</f>
        <v>5697.4049999999997</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16764</v>
      </c>
      <c r="L38" s="76">
        <f t="shared" si="7"/>
        <v>1676.4</v>
      </c>
      <c r="M38" s="76">
        <f t="shared" si="7"/>
        <v>838.2</v>
      </c>
      <c r="N38" s="77">
        <f t="shared" si="7"/>
        <v>1591854.9570000002</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54417.901386266538</v>
      </c>
      <c r="K39" s="67">
        <f t="shared" si="8"/>
        <v>20015</v>
      </c>
      <c r="L39" s="67">
        <f t="shared" si="8"/>
        <v>2001.5</v>
      </c>
      <c r="M39" s="67">
        <f t="shared" si="8"/>
        <v>1000.75</v>
      </c>
      <c r="N39" s="68">
        <f t="shared" si="8"/>
        <v>4613509.4069609325</v>
      </c>
      <c r="O39" s="68">
        <f>O26+O38</f>
        <v>463379.7227899835</v>
      </c>
      <c r="P39" s="67">
        <f t="shared" si="8"/>
        <v>112.9</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359" customFormat="1" ht="9" customHeight="1" x14ac:dyDescent="0.15">
      <c r="A42" s="358" t="s">
        <v>75</v>
      </c>
      <c r="B42" s="359" t="s">
        <v>1257</v>
      </c>
    </row>
    <row r="43" spans="1:19" s="359" customFormat="1" ht="19.5" customHeight="1" x14ac:dyDescent="0.15">
      <c r="A43" s="358" t="s">
        <v>97</v>
      </c>
      <c r="B43" s="494" t="s">
        <v>1232</v>
      </c>
      <c r="C43" s="494"/>
      <c r="D43" s="494"/>
      <c r="E43" s="494"/>
      <c r="F43" s="494"/>
      <c r="G43" s="494"/>
      <c r="H43" s="494"/>
      <c r="I43" s="494"/>
      <c r="J43" s="494"/>
      <c r="K43" s="494"/>
      <c r="L43" s="494"/>
      <c r="M43" s="494"/>
      <c r="N43" s="494"/>
      <c r="O43" s="494"/>
      <c r="P43" s="494"/>
      <c r="Q43" s="494"/>
      <c r="R43" s="494"/>
    </row>
    <row r="44" spans="1:19" s="359" customFormat="1" ht="9" customHeight="1" x14ac:dyDescent="0.15">
      <c r="A44" s="358" t="s">
        <v>65</v>
      </c>
      <c r="B44" s="360" t="s">
        <v>842</v>
      </c>
    </row>
    <row r="45" spans="1:19" s="359" customFormat="1" ht="9" x14ac:dyDescent="0.15">
      <c r="A45" s="358" t="s">
        <v>98</v>
      </c>
      <c r="B45" s="360" t="s">
        <v>1228</v>
      </c>
      <c r="C45" s="465"/>
      <c r="D45" s="465"/>
      <c r="E45" s="465"/>
      <c r="F45" s="465"/>
      <c r="G45" s="465"/>
      <c r="H45" s="465"/>
      <c r="I45" s="465"/>
      <c r="J45" s="465"/>
      <c r="K45" s="465"/>
      <c r="L45" s="465"/>
      <c r="M45" s="465"/>
      <c r="N45" s="465"/>
      <c r="O45" s="465"/>
      <c r="P45" s="465"/>
      <c r="Q45" s="465"/>
      <c r="R45" s="465"/>
    </row>
    <row r="46" spans="1:19" s="359" customFormat="1" ht="30.75" customHeight="1" x14ac:dyDescent="0.15">
      <c r="A46" s="358" t="s">
        <v>67</v>
      </c>
      <c r="B46" s="494" t="s">
        <v>1265</v>
      </c>
      <c r="C46" s="494"/>
      <c r="D46" s="494"/>
      <c r="E46" s="494"/>
      <c r="F46" s="494"/>
      <c r="G46" s="494"/>
      <c r="H46" s="494"/>
      <c r="I46" s="494"/>
      <c r="J46" s="494"/>
      <c r="K46" s="494"/>
      <c r="L46" s="494"/>
      <c r="M46" s="494"/>
      <c r="N46" s="494"/>
      <c r="O46" s="494"/>
      <c r="P46" s="494"/>
      <c r="Q46" s="494"/>
      <c r="R46" s="494"/>
      <c r="S46" s="494"/>
    </row>
    <row r="47" spans="1:19" s="359" customFormat="1" ht="9" x14ac:dyDescent="0.15">
      <c r="A47" s="358" t="s">
        <v>99</v>
      </c>
      <c r="B47" s="359" t="s">
        <v>1212</v>
      </c>
    </row>
    <row r="48" spans="1:19" s="359" customFormat="1" ht="36" customHeight="1" x14ac:dyDescent="0.15">
      <c r="A48" s="358" t="s">
        <v>100</v>
      </c>
      <c r="B48" s="494" t="s">
        <v>1274</v>
      </c>
      <c r="C48" s="494"/>
      <c r="D48" s="494"/>
      <c r="E48" s="494"/>
      <c r="F48" s="494"/>
      <c r="G48" s="494"/>
      <c r="H48" s="494"/>
      <c r="I48" s="494"/>
      <c r="J48" s="494"/>
      <c r="K48" s="494"/>
      <c r="L48" s="494"/>
      <c r="M48" s="494"/>
      <c r="N48" s="494"/>
      <c r="O48" s="494"/>
      <c r="P48" s="494"/>
      <c r="Q48" s="494"/>
      <c r="R48" s="494"/>
      <c r="S48" s="494"/>
    </row>
    <row r="49" spans="1:18" s="359" customFormat="1" ht="9" x14ac:dyDescent="0.15">
      <c r="A49" s="358" t="s">
        <v>101</v>
      </c>
      <c r="B49" s="494" t="s">
        <v>1222</v>
      </c>
      <c r="C49" s="494"/>
      <c r="D49" s="494"/>
      <c r="E49" s="494"/>
      <c r="F49" s="494"/>
      <c r="G49" s="494"/>
      <c r="H49" s="494"/>
      <c r="I49" s="494"/>
      <c r="J49" s="494"/>
      <c r="K49" s="494"/>
      <c r="L49" s="494"/>
      <c r="M49" s="494"/>
      <c r="N49" s="494"/>
      <c r="O49" s="494"/>
      <c r="P49" s="494"/>
      <c r="Q49" s="494"/>
      <c r="R49" s="494"/>
    </row>
    <row r="50" spans="1:18" s="359" customFormat="1" ht="9" customHeight="1" x14ac:dyDescent="0.15">
      <c r="A50" s="358" t="s">
        <v>102</v>
      </c>
      <c r="B50" s="362" t="s">
        <v>1224</v>
      </c>
      <c r="C50" s="361"/>
      <c r="D50" s="361"/>
      <c r="E50" s="361"/>
      <c r="F50" s="361"/>
      <c r="G50" s="361"/>
      <c r="H50" s="361"/>
      <c r="I50" s="361"/>
      <c r="J50" s="361"/>
      <c r="K50" s="361"/>
      <c r="L50" s="361"/>
      <c r="M50" s="361"/>
      <c r="P50" s="363"/>
      <c r="Q50" s="363"/>
      <c r="R50" s="364"/>
    </row>
    <row r="51" spans="1:18" s="359" customFormat="1" ht="9" x14ac:dyDescent="0.15">
      <c r="A51" s="358" t="s">
        <v>103</v>
      </c>
      <c r="B51" s="359" t="s">
        <v>1201</v>
      </c>
      <c r="C51" s="364"/>
      <c r="D51" s="364"/>
      <c r="E51" s="364"/>
      <c r="F51" s="364"/>
      <c r="G51" s="364"/>
      <c r="H51" s="364"/>
      <c r="I51" s="365"/>
      <c r="J51" s="364"/>
      <c r="K51" s="364"/>
      <c r="L51" s="364"/>
      <c r="M51" s="364"/>
      <c r="P51" s="363"/>
      <c r="Q51" s="363"/>
      <c r="R51" s="364"/>
    </row>
    <row r="52" spans="1:18" s="359" customFormat="1" ht="9" customHeight="1" x14ac:dyDescent="0.15">
      <c r="A52" s="358" t="s">
        <v>63</v>
      </c>
      <c r="B52" s="360" t="s">
        <v>1266</v>
      </c>
      <c r="C52" s="364"/>
      <c r="D52" s="364"/>
      <c r="E52" s="364"/>
      <c r="F52" s="364"/>
      <c r="G52" s="364"/>
      <c r="H52" s="364"/>
      <c r="I52" s="365"/>
      <c r="J52" s="364"/>
      <c r="K52" s="364"/>
      <c r="L52" s="364"/>
      <c r="M52" s="364"/>
      <c r="P52" s="363"/>
      <c r="Q52" s="363"/>
      <c r="R52" s="364"/>
    </row>
    <row r="53" spans="1:18" s="359" customFormat="1" ht="9" x14ac:dyDescent="0.15">
      <c r="A53" s="358" t="s">
        <v>104</v>
      </c>
      <c r="B53" s="360" t="s">
        <v>108</v>
      </c>
      <c r="C53" s="364"/>
      <c r="D53" s="364"/>
      <c r="E53" s="364"/>
      <c r="F53" s="364"/>
      <c r="G53" s="364"/>
      <c r="H53" s="364"/>
      <c r="I53" s="365"/>
      <c r="J53" s="364"/>
      <c r="K53" s="364"/>
      <c r="L53" s="364"/>
      <c r="M53" s="364"/>
      <c r="P53" s="363"/>
      <c r="Q53" s="363"/>
      <c r="R53" s="364"/>
    </row>
    <row r="54" spans="1:18" s="359" customFormat="1" ht="9" x14ac:dyDescent="0.15">
      <c r="A54" s="358" t="s">
        <v>105</v>
      </c>
      <c r="B54" s="359" t="s">
        <v>841</v>
      </c>
      <c r="P54" s="363"/>
      <c r="Q54" s="363"/>
      <c r="R54" s="364"/>
    </row>
    <row r="55" spans="1:18" s="359" customFormat="1" ht="9" x14ac:dyDescent="0.15">
      <c r="A55" s="358" t="s">
        <v>107</v>
      </c>
      <c r="B55" s="359" t="s">
        <v>1158</v>
      </c>
      <c r="P55" s="363"/>
      <c r="Q55" s="363"/>
      <c r="R55" s="364"/>
    </row>
    <row r="56" spans="1:18" s="359" customFormat="1" ht="16.5" customHeight="1" x14ac:dyDescent="0.15">
      <c r="A56" s="358" t="s">
        <v>1160</v>
      </c>
      <c r="B56" s="494" t="s">
        <v>1272</v>
      </c>
      <c r="C56" s="494"/>
      <c r="D56" s="494"/>
      <c r="E56" s="494"/>
      <c r="F56" s="494"/>
      <c r="G56" s="494"/>
      <c r="H56" s="494"/>
      <c r="I56" s="494"/>
      <c r="J56" s="494"/>
      <c r="K56" s="494"/>
      <c r="L56" s="494"/>
      <c r="M56" s="494"/>
      <c r="N56" s="494"/>
      <c r="O56" s="494"/>
      <c r="P56" s="494"/>
      <c r="Q56" s="494"/>
      <c r="R56" s="494"/>
    </row>
    <row r="57" spans="1:18" s="359" customFormat="1" ht="16.5" customHeight="1" x14ac:dyDescent="0.15">
      <c r="A57" s="358" t="s">
        <v>1159</v>
      </c>
      <c r="B57" s="494" t="s">
        <v>1273</v>
      </c>
      <c r="C57" s="494"/>
      <c r="D57" s="494"/>
      <c r="E57" s="494"/>
      <c r="F57" s="494"/>
      <c r="G57" s="494"/>
      <c r="H57" s="494"/>
      <c r="I57" s="494"/>
      <c r="J57" s="494"/>
      <c r="K57" s="494"/>
      <c r="L57" s="494"/>
      <c r="M57" s="494"/>
      <c r="N57" s="494"/>
      <c r="O57" s="494"/>
      <c r="P57" s="494"/>
      <c r="Q57" s="494"/>
      <c r="R57" s="494"/>
    </row>
    <row r="58" spans="1:18" s="62" customFormat="1" ht="9" x14ac:dyDescent="0.15">
      <c r="A58" s="121" t="s">
        <v>1262</v>
      </c>
      <c r="B58" s="116" t="s">
        <v>1300</v>
      </c>
      <c r="C58" s="463"/>
      <c r="D58" s="463"/>
      <c r="E58" s="463"/>
      <c r="F58" s="463"/>
      <c r="G58" s="463"/>
      <c r="H58" s="463"/>
      <c r="I58" s="463"/>
      <c r="J58" s="463"/>
      <c r="K58" s="463"/>
      <c r="L58" s="463"/>
      <c r="M58" s="463"/>
      <c r="N58" s="463"/>
      <c r="O58" s="463"/>
      <c r="P58" s="463"/>
      <c r="Q58" s="463"/>
    </row>
    <row r="59" spans="1:18" s="62" customFormat="1" ht="9" x14ac:dyDescent="0.15">
      <c r="R59" s="63"/>
    </row>
    <row r="60" spans="1:18" s="62" customFormat="1" ht="9" x14ac:dyDescent="0.15">
      <c r="C60" s="63"/>
      <c r="D60" s="63"/>
      <c r="E60" s="63"/>
      <c r="F60" s="63"/>
      <c r="G60" s="63"/>
      <c r="H60" s="63"/>
      <c r="I60" s="64"/>
      <c r="J60" s="63"/>
      <c r="K60" s="63"/>
      <c r="L60" s="63"/>
      <c r="M60" s="63"/>
      <c r="N60" s="63"/>
      <c r="O60" s="61"/>
      <c r="P60" s="61"/>
      <c r="Q60" s="61"/>
      <c r="R60" s="63"/>
    </row>
    <row r="61" spans="1:18" s="62" customFormat="1" ht="9" x14ac:dyDescent="0.15">
      <c r="C61" s="63"/>
      <c r="D61" s="63"/>
      <c r="E61" s="63"/>
      <c r="F61" s="63"/>
      <c r="G61" s="63"/>
      <c r="H61" s="63"/>
      <c r="I61" s="64"/>
      <c r="J61" s="63"/>
      <c r="K61" s="63"/>
      <c r="L61" s="63"/>
      <c r="M61" s="63"/>
      <c r="N61" s="63"/>
      <c r="O61" s="61"/>
      <c r="P61" s="61"/>
      <c r="Q61" s="61"/>
      <c r="R61" s="63"/>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x14ac:dyDescent="0.2">
      <c r="C76" s="63"/>
      <c r="D76" s="63"/>
      <c r="E76" s="63"/>
      <c r="F76" s="63"/>
      <c r="G76" s="63"/>
      <c r="H76" s="63"/>
      <c r="I76" s="64"/>
      <c r="J76" s="63"/>
      <c r="K76" s="63"/>
      <c r="L76" s="63"/>
      <c r="M76" s="63"/>
      <c r="N76" s="63"/>
      <c r="O76" s="61"/>
      <c r="P76" s="61"/>
      <c r="Q76" s="61"/>
      <c r="R76" s="58"/>
    </row>
    <row r="77" spans="3:18" s="62" customFormat="1" x14ac:dyDescent="0.2">
      <c r="C77" s="63"/>
      <c r="D77" s="63"/>
      <c r="E77" s="63"/>
      <c r="F77" s="63"/>
      <c r="G77" s="58"/>
      <c r="H77" s="63"/>
      <c r="I77" s="64"/>
      <c r="J77" s="58"/>
      <c r="K77" s="63"/>
      <c r="L77" s="63"/>
      <c r="M77" s="63"/>
      <c r="N77" s="63"/>
      <c r="O77" s="61"/>
      <c r="P77" s="61"/>
      <c r="Q77" s="61"/>
      <c r="R77" s="58"/>
    </row>
    <row r="78" spans="3:18" x14ac:dyDescent="0.2">
      <c r="P78" s="61"/>
      <c r="Q78" s="61"/>
    </row>
    <row r="79" spans="3:18" x14ac:dyDescent="0.2">
      <c r="P79" s="61"/>
      <c r="Q79" s="61"/>
    </row>
  </sheetData>
  <mergeCells count="20">
    <mergeCell ref="B57:R57"/>
    <mergeCell ref="B56:R56"/>
    <mergeCell ref="B48:S48"/>
    <mergeCell ref="B46:S46"/>
    <mergeCell ref="B49:R49"/>
    <mergeCell ref="C4:D4"/>
    <mergeCell ref="B1:R1"/>
    <mergeCell ref="B2:R2"/>
    <mergeCell ref="B43:R43"/>
    <mergeCell ref="C5:D5"/>
    <mergeCell ref="C12:D12"/>
    <mergeCell ref="C13:D13"/>
    <mergeCell ref="C23:D23"/>
    <mergeCell ref="C24:D24"/>
    <mergeCell ref="C28:D28"/>
    <mergeCell ref="C29:D29"/>
    <mergeCell ref="C30:D30"/>
    <mergeCell ref="C31:D31"/>
    <mergeCell ref="C36:D36"/>
    <mergeCell ref="C37:D37"/>
  </mergeCells>
  <pageMargins left="0.25" right="0.25" top="0.5" bottom="0.5" header="0.5" footer="0.5"/>
  <pageSetup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E15" sqref="E15"/>
    </sheetView>
  </sheetViews>
  <sheetFormatPr defaultRowHeight="12.75" x14ac:dyDescent="0.2"/>
  <cols>
    <col min="1" max="1" width="3.28515625" style="161" customWidth="1"/>
    <col min="2" max="2" width="13.42578125" style="161" customWidth="1"/>
    <col min="3" max="3" width="9.140625" style="161"/>
    <col min="4" max="4" width="14" style="161" customWidth="1"/>
    <col min="5" max="16384" width="9.140625" style="161"/>
  </cols>
  <sheetData>
    <row r="2" spans="1:9" x14ac:dyDescent="0.2">
      <c r="B2" s="162" t="s">
        <v>148</v>
      </c>
    </row>
    <row r="3" spans="1:9" x14ac:dyDescent="0.2">
      <c r="C3" s="227" t="s">
        <v>188</v>
      </c>
      <c r="D3" s="227" t="s">
        <v>187</v>
      </c>
    </row>
    <row r="4" spans="1:9" ht="15.75" x14ac:dyDescent="0.25">
      <c r="A4" s="289"/>
      <c r="B4" s="290" t="s">
        <v>147</v>
      </c>
      <c r="C4" s="290">
        <v>39.700000000000003</v>
      </c>
      <c r="D4" s="291">
        <f>C4+(C4*0.6)</f>
        <v>63.52</v>
      </c>
      <c r="E4" s="224" t="s">
        <v>1102</v>
      </c>
      <c r="F4" s="289"/>
    </row>
    <row r="5" spans="1:9" ht="15.75" x14ac:dyDescent="0.25">
      <c r="A5" s="289"/>
      <c r="B5" s="290" t="s">
        <v>146</v>
      </c>
      <c r="C5" s="290">
        <v>15.94</v>
      </c>
      <c r="D5" s="291">
        <f>C5+(C5*0.6)</f>
        <v>25.503999999999998</v>
      </c>
      <c r="E5" s="224" t="s">
        <v>1103</v>
      </c>
      <c r="F5" s="289"/>
      <c r="G5" s="224"/>
      <c r="H5"/>
    </row>
    <row r="6" spans="1:9" ht="15.75" x14ac:dyDescent="0.25">
      <c r="A6" s="289"/>
      <c r="B6" s="290" t="s">
        <v>145</v>
      </c>
      <c r="C6" s="290">
        <v>29.46</v>
      </c>
      <c r="D6" s="291">
        <f>C6+(C6*0.6)</f>
        <v>47.135999999999996</v>
      </c>
      <c r="E6" s="224" t="s">
        <v>1104</v>
      </c>
      <c r="F6" s="289"/>
      <c r="G6" s="224"/>
      <c r="H6"/>
      <c r="I6"/>
    </row>
    <row r="7" spans="1:9" ht="15.75" x14ac:dyDescent="0.25">
      <c r="A7" s="289"/>
      <c r="B7" s="226" t="s">
        <v>1100</v>
      </c>
      <c r="C7" s="289"/>
      <c r="D7" s="289"/>
      <c r="E7" s="289"/>
      <c r="F7" s="289"/>
      <c r="G7"/>
      <c r="H7" s="224"/>
    </row>
    <row r="8" spans="1:9" ht="15.75" x14ac:dyDescent="0.25">
      <c r="A8" s="289"/>
      <c r="B8" s="27" t="s">
        <v>1101</v>
      </c>
      <c r="C8" s="289"/>
      <c r="D8" s="289"/>
      <c r="E8" s="289"/>
      <c r="F8" s="289"/>
      <c r="G8"/>
      <c r="H8" s="224"/>
    </row>
    <row r="9" spans="1:9" ht="15.75" x14ac:dyDescent="0.25">
      <c r="G9"/>
      <c r="H9" s="224"/>
    </row>
    <row r="10" spans="1:9" ht="15.75" x14ac:dyDescent="0.25">
      <c r="B10" s="162" t="s">
        <v>144</v>
      </c>
      <c r="G10" s="225"/>
    </row>
    <row r="11" spans="1:9" ht="15" x14ac:dyDescent="0.25">
      <c r="B11" s="163" t="s">
        <v>143</v>
      </c>
      <c r="C11" s="292">
        <v>118</v>
      </c>
      <c r="H11"/>
      <c r="I11"/>
    </row>
    <row r="12" spans="1:9" x14ac:dyDescent="0.2">
      <c r="B12" s="163" t="s">
        <v>142</v>
      </c>
      <c r="C12" s="292">
        <v>58</v>
      </c>
    </row>
    <row r="13" spans="1:9" x14ac:dyDescent="0.2">
      <c r="B13" s="163" t="s">
        <v>141</v>
      </c>
      <c r="C13" s="292">
        <v>600</v>
      </c>
    </row>
    <row r="14" spans="1:9" x14ac:dyDescent="0.2">
      <c r="B14" s="163" t="s">
        <v>140</v>
      </c>
      <c r="C14" s="290">
        <v>3</v>
      </c>
    </row>
    <row r="18" spans="3:3" x14ac:dyDescent="0.2">
      <c r="C18" s="338">
        <f>3*SUM(C11:C12)+600</f>
        <v>1128</v>
      </c>
    </row>
  </sheetData>
  <hyperlinks>
    <hyperlink ref="B8" r:id="rId1"/>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Normal="100" workbookViewId="0">
      <selection activeCell="A4" sqref="A4:XFD4"/>
    </sheetView>
  </sheetViews>
  <sheetFormatPr defaultRowHeight="12.75" x14ac:dyDescent="0.2"/>
  <cols>
    <col min="1" max="1" width="2.28515625" style="164" customWidth="1"/>
    <col min="2" max="2" width="2.42578125" style="164" customWidth="1"/>
    <col min="3" max="3" width="2.140625" style="164" customWidth="1"/>
    <col min="4" max="4" width="1.42578125" style="164" customWidth="1"/>
    <col min="5" max="5" width="2.42578125" style="164" customWidth="1"/>
    <col min="6" max="6" width="44.7109375" style="164" customWidth="1"/>
    <col min="7" max="7" width="12" style="167" customWidth="1"/>
    <col min="8" max="8" width="13" style="167" customWidth="1"/>
    <col min="9" max="9" width="14.28515625" style="167" customWidth="1"/>
    <col min="10" max="10" width="10.5703125" style="167" customWidth="1"/>
    <col min="11" max="11" width="12.7109375" style="167" customWidth="1"/>
    <col min="12" max="12" width="14" style="167" customWidth="1"/>
    <col min="13" max="13" width="13" style="166" customWidth="1"/>
    <col min="14" max="14" width="6.7109375" style="165" customWidth="1"/>
    <col min="15" max="15" width="15.28515625" style="164" customWidth="1"/>
    <col min="16" max="16384" width="9.140625" style="164"/>
  </cols>
  <sheetData>
    <row r="1" spans="1:16" x14ac:dyDescent="0.2">
      <c r="A1" s="503" t="s">
        <v>1243</v>
      </c>
      <c r="B1" s="503"/>
      <c r="C1" s="503"/>
      <c r="D1" s="503"/>
      <c r="E1" s="503"/>
      <c r="F1" s="503"/>
      <c r="G1" s="503"/>
      <c r="H1" s="503"/>
      <c r="I1" s="503"/>
      <c r="J1" s="503"/>
      <c r="K1" s="503"/>
      <c r="L1" s="503"/>
      <c r="M1" s="503"/>
      <c r="N1" s="503"/>
    </row>
    <row r="2" spans="1:16" ht="12" customHeight="1" x14ac:dyDescent="0.2">
      <c r="A2" s="503" t="s">
        <v>855</v>
      </c>
      <c r="B2" s="503"/>
      <c r="C2" s="503"/>
      <c r="D2" s="503"/>
      <c r="E2" s="503"/>
      <c r="F2" s="503"/>
      <c r="G2" s="503"/>
      <c r="H2" s="503"/>
      <c r="I2" s="503"/>
      <c r="J2" s="503"/>
      <c r="K2" s="503"/>
      <c r="L2" s="503"/>
      <c r="M2" s="503"/>
      <c r="N2" s="503"/>
    </row>
    <row r="3" spans="1:16" ht="15" customHeight="1" thickBot="1" x14ac:dyDescent="0.25"/>
    <row r="4" spans="1:16" s="215" customFormat="1" ht="68.25" customHeight="1" x14ac:dyDescent="0.2">
      <c r="A4" s="220" t="s">
        <v>88</v>
      </c>
      <c r="B4" s="219"/>
      <c r="C4" s="219"/>
      <c r="D4" s="219"/>
      <c r="E4" s="219"/>
      <c r="F4" s="219"/>
      <c r="G4" s="218" t="s">
        <v>176</v>
      </c>
      <c r="H4" s="218" t="s">
        <v>175</v>
      </c>
      <c r="I4" s="218" t="s">
        <v>174</v>
      </c>
      <c r="J4" s="218" t="s">
        <v>173</v>
      </c>
      <c r="K4" s="218" t="s">
        <v>847</v>
      </c>
      <c r="L4" s="218" t="s">
        <v>172</v>
      </c>
      <c r="M4" s="217" t="s">
        <v>850</v>
      </c>
      <c r="N4" s="216" t="s">
        <v>87</v>
      </c>
      <c r="O4" s="339"/>
    </row>
    <row r="5" spans="1:16" x14ac:dyDescent="0.2">
      <c r="A5" s="214" t="s">
        <v>171</v>
      </c>
      <c r="B5" s="213" t="s">
        <v>170</v>
      </c>
      <c r="C5" s="213"/>
      <c r="D5" s="213"/>
      <c r="E5" s="213"/>
      <c r="F5" s="212"/>
      <c r="G5" s="211">
        <v>40</v>
      </c>
      <c r="H5" s="211">
        <v>10</v>
      </c>
      <c r="I5" s="210">
        <f>G5*H5</f>
        <v>400</v>
      </c>
      <c r="J5" s="210">
        <f>I5</f>
        <v>400</v>
      </c>
      <c r="K5" s="210">
        <f>J5*0.05</f>
        <v>20</v>
      </c>
      <c r="L5" s="210">
        <f>J5*0.1</f>
        <v>40</v>
      </c>
      <c r="M5" s="209">
        <f>(J5*'Agency Base Data'!$D$6)+(K5*'Agency Base Data'!$D$4)+(L5*'Agency Base Data'!$D$5)</f>
        <v>21144.959999999999</v>
      </c>
      <c r="N5" s="342" t="s">
        <v>75</v>
      </c>
      <c r="O5" s="340"/>
    </row>
    <row r="6" spans="1:16" ht="25.5" customHeight="1" x14ac:dyDescent="0.2">
      <c r="A6" s="203" t="s">
        <v>169</v>
      </c>
      <c r="B6" s="504" t="s">
        <v>168</v>
      </c>
      <c r="C6" s="504"/>
      <c r="D6" s="504"/>
      <c r="E6" s="504"/>
      <c r="F6" s="504"/>
      <c r="G6" s="199">
        <v>2</v>
      </c>
      <c r="H6" s="198">
        <f>'Respondent Yr1'!I35</f>
        <v>101</v>
      </c>
      <c r="I6" s="198">
        <f>G6*H6</f>
        <v>202</v>
      </c>
      <c r="J6" s="198">
        <f>I6</f>
        <v>202</v>
      </c>
      <c r="K6" s="198">
        <f>J6*0.05</f>
        <v>10.100000000000001</v>
      </c>
      <c r="L6" s="198">
        <f>J6*0.1</f>
        <v>20.200000000000003</v>
      </c>
      <c r="M6" s="197">
        <f>(J6*'Agency Base Data'!$D$6)+(K6*'Agency Base Data'!$D$4)+(L6*'Agency Base Data'!$D$5)</f>
        <v>10678.2048</v>
      </c>
      <c r="N6" s="196" t="s">
        <v>97</v>
      </c>
      <c r="O6" s="340"/>
      <c r="P6" s="336"/>
    </row>
    <row r="7" spans="1:16" ht="15" customHeight="1" x14ac:dyDescent="0.2">
      <c r="A7" s="203" t="s">
        <v>167</v>
      </c>
      <c r="B7" s="202" t="s">
        <v>166</v>
      </c>
      <c r="C7" s="207"/>
      <c r="D7" s="205"/>
      <c r="E7" s="205"/>
      <c r="F7" s="204"/>
      <c r="G7" s="199"/>
      <c r="H7" s="199"/>
      <c r="I7" s="198"/>
      <c r="J7" s="198"/>
      <c r="K7" s="198"/>
      <c r="L7" s="198"/>
      <c r="M7" s="197"/>
      <c r="N7" s="196"/>
      <c r="O7" s="340"/>
    </row>
    <row r="8" spans="1:16" ht="15" customHeight="1" x14ac:dyDescent="0.2">
      <c r="A8" s="203"/>
      <c r="B8" s="202" t="s">
        <v>156</v>
      </c>
      <c r="C8" s="202" t="s">
        <v>177</v>
      </c>
      <c r="D8" s="205"/>
      <c r="E8" s="201"/>
      <c r="F8" s="204"/>
      <c r="G8" s="199">
        <v>12</v>
      </c>
      <c r="H8" s="198">
        <f>'Respondent Yr1'!I9*0.2</f>
        <v>20.200000000000003</v>
      </c>
      <c r="I8" s="198">
        <f>G8*H8</f>
        <v>242.40000000000003</v>
      </c>
      <c r="J8" s="198">
        <f t="shared" ref="J8:J13" si="0">I8</f>
        <v>242.40000000000003</v>
      </c>
      <c r="K8" s="198">
        <f t="shared" ref="K8:K13" si="1">J8*0.05</f>
        <v>12.120000000000003</v>
      </c>
      <c r="L8" s="198">
        <f t="shared" ref="L8:L13" si="2">J8*0.1</f>
        <v>24.240000000000006</v>
      </c>
      <c r="M8" s="197">
        <f>(J8*'Agency Base Data'!$D$6)+(K8*'Agency Base Data'!$D$4)+(L8*'Agency Base Data'!$D$5)</f>
        <v>12813.84576</v>
      </c>
      <c r="N8" s="208" t="s">
        <v>1193</v>
      </c>
      <c r="O8" s="340"/>
      <c r="P8" s="336"/>
    </row>
    <row r="9" spans="1:16" ht="15" customHeight="1" x14ac:dyDescent="0.2">
      <c r="A9" s="203"/>
      <c r="B9" s="202" t="s">
        <v>155</v>
      </c>
      <c r="C9" s="202" t="s">
        <v>178</v>
      </c>
      <c r="D9" s="205"/>
      <c r="E9" s="201"/>
      <c r="F9" s="204"/>
      <c r="G9" s="199">
        <v>20</v>
      </c>
      <c r="H9" s="198">
        <f>'Respondent Yr1'!I10*0.2</f>
        <v>20.200000000000003</v>
      </c>
      <c r="I9" s="198">
        <f>G9*H9</f>
        <v>404.00000000000006</v>
      </c>
      <c r="J9" s="198">
        <f t="shared" si="0"/>
        <v>404.00000000000006</v>
      </c>
      <c r="K9" s="198">
        <f t="shared" si="1"/>
        <v>20.200000000000003</v>
      </c>
      <c r="L9" s="198">
        <f t="shared" si="2"/>
        <v>40.400000000000006</v>
      </c>
      <c r="M9" s="197">
        <f>(J9*'Agency Base Data'!$D$6)+(K9*'Agency Base Data'!$D$4)+(L9*'Agency Base Data'!$D$5)+(H9*('Other Cost Basis'!B9+'Other Cost Basis'!B13+'Other Cost Basis'!B14))</f>
        <v>36789.209600000002</v>
      </c>
      <c r="N9" s="208" t="s">
        <v>65</v>
      </c>
      <c r="O9" s="340"/>
    </row>
    <row r="10" spans="1:16" ht="15" customHeight="1" x14ac:dyDescent="0.2">
      <c r="A10" s="203"/>
      <c r="B10" s="202" t="s">
        <v>154</v>
      </c>
      <c r="C10" s="202" t="s">
        <v>164</v>
      </c>
      <c r="D10" s="205"/>
      <c r="E10" s="201"/>
      <c r="F10" s="204"/>
      <c r="G10" s="199">
        <v>1</v>
      </c>
      <c r="H10" s="198">
        <f>'Respondent Yr1'!I10</f>
        <v>101</v>
      </c>
      <c r="I10" s="198">
        <f>G10*H10</f>
        <v>101</v>
      </c>
      <c r="J10" s="198">
        <f t="shared" si="0"/>
        <v>101</v>
      </c>
      <c r="K10" s="198">
        <f t="shared" si="1"/>
        <v>5.0500000000000007</v>
      </c>
      <c r="L10" s="198">
        <f t="shared" si="2"/>
        <v>10.100000000000001</v>
      </c>
      <c r="M10" s="197">
        <f>(J10*'Agency Base Data'!$D$6)+(K10*'Agency Base Data'!$D$4)+(L10*'Agency Base Data'!$D$5)</f>
        <v>5339.1023999999998</v>
      </c>
      <c r="N10" s="208" t="s">
        <v>98</v>
      </c>
      <c r="O10" s="340"/>
      <c r="P10" s="336"/>
    </row>
    <row r="11" spans="1:16" ht="15" customHeight="1" x14ac:dyDescent="0.2">
      <c r="A11" s="203"/>
      <c r="B11" s="202" t="s">
        <v>153</v>
      </c>
      <c r="C11" s="202" t="s">
        <v>162</v>
      </c>
      <c r="D11" s="205"/>
      <c r="E11" s="201"/>
      <c r="F11" s="204"/>
      <c r="G11" s="199">
        <v>1</v>
      </c>
      <c r="H11" s="198">
        <f>'Respondent Yr1'!I25</f>
        <v>101</v>
      </c>
      <c r="I11" s="198">
        <f>G11*H11</f>
        <v>101</v>
      </c>
      <c r="J11" s="198">
        <f t="shared" si="0"/>
        <v>101</v>
      </c>
      <c r="K11" s="198">
        <f t="shared" si="1"/>
        <v>5.0500000000000007</v>
      </c>
      <c r="L11" s="198">
        <f t="shared" si="2"/>
        <v>10.100000000000001</v>
      </c>
      <c r="M11" s="197">
        <f>(J11*'Agency Base Data'!$D$6)+(K11*'Agency Base Data'!$D$4)+(L11*'Agency Base Data'!$D$5)</f>
        <v>5339.1023999999998</v>
      </c>
      <c r="N11" s="208" t="s">
        <v>67</v>
      </c>
      <c r="O11" s="340"/>
    </row>
    <row r="12" spans="1:16" ht="15" customHeight="1" x14ac:dyDescent="0.2">
      <c r="A12" s="203"/>
      <c r="B12" s="202" t="s">
        <v>165</v>
      </c>
      <c r="C12" s="202" t="s">
        <v>848</v>
      </c>
      <c r="D12" s="205"/>
      <c r="E12" s="201"/>
      <c r="F12" s="204"/>
      <c r="G12" s="199">
        <v>2</v>
      </c>
      <c r="H12" s="198">
        <f>'Respondent Yr1'!I9</f>
        <v>101</v>
      </c>
      <c r="I12" s="198">
        <f>G12*H12</f>
        <v>202</v>
      </c>
      <c r="J12" s="198">
        <f t="shared" si="0"/>
        <v>202</v>
      </c>
      <c r="K12" s="198">
        <f t="shared" si="1"/>
        <v>10.100000000000001</v>
      </c>
      <c r="L12" s="198">
        <f t="shared" si="2"/>
        <v>20.200000000000003</v>
      </c>
      <c r="M12" s="197">
        <f>(J12*'Agency Base Data'!$D$6)+(K12*'Agency Base Data'!$D$4)+(L12*'Agency Base Data'!$D$5)</f>
        <v>10678.2048</v>
      </c>
      <c r="N12" s="208" t="s">
        <v>98</v>
      </c>
      <c r="O12" s="340"/>
      <c r="P12" s="336"/>
    </row>
    <row r="13" spans="1:16" ht="15" customHeight="1" x14ac:dyDescent="0.2">
      <c r="A13" s="203" t="s">
        <v>161</v>
      </c>
      <c r="B13" s="202" t="s">
        <v>181</v>
      </c>
      <c r="C13" s="202"/>
      <c r="D13" s="205"/>
      <c r="E13" s="201"/>
      <c r="F13" s="204"/>
      <c r="G13" s="199">
        <v>24</v>
      </c>
      <c r="H13" s="198">
        <f>H12*0.1</f>
        <v>10.100000000000001</v>
      </c>
      <c r="I13" s="198">
        <v>0</v>
      </c>
      <c r="J13" s="198">
        <f t="shared" si="0"/>
        <v>0</v>
      </c>
      <c r="K13" s="198">
        <f t="shared" si="1"/>
        <v>0</v>
      </c>
      <c r="L13" s="198">
        <f t="shared" si="2"/>
        <v>0</v>
      </c>
      <c r="M13" s="197">
        <f>(J13*'Agency Base Data'!$D$6)+(K13*'Agency Base Data'!$D$4)+(L13*'Agency Base Data'!$D$5)</f>
        <v>0</v>
      </c>
      <c r="N13" s="208" t="s">
        <v>99</v>
      </c>
      <c r="O13" s="340"/>
    </row>
    <row r="14" spans="1:16" ht="15.75" customHeight="1" x14ac:dyDescent="0.2">
      <c r="A14" s="203" t="s">
        <v>160</v>
      </c>
      <c r="B14" s="202" t="s">
        <v>159</v>
      </c>
      <c r="C14" s="207"/>
      <c r="D14" s="206"/>
      <c r="E14" s="201"/>
      <c r="F14" s="204"/>
      <c r="G14" s="199"/>
      <c r="H14" s="198"/>
      <c r="I14" s="198"/>
      <c r="J14" s="198"/>
      <c r="K14" s="198"/>
      <c r="L14" s="198"/>
      <c r="M14" s="197"/>
      <c r="N14" s="196"/>
      <c r="O14" s="340"/>
    </row>
    <row r="15" spans="1:16" x14ac:dyDescent="0.2">
      <c r="A15" s="203"/>
      <c r="B15" s="202" t="s">
        <v>156</v>
      </c>
      <c r="C15" s="504" t="s">
        <v>1154</v>
      </c>
      <c r="D15" s="504"/>
      <c r="E15" s="504"/>
      <c r="F15" s="504"/>
      <c r="G15" s="199">
        <v>2</v>
      </c>
      <c r="H15" s="198">
        <f>'Respondent Yr1'!I16</f>
        <v>0</v>
      </c>
      <c r="I15" s="198">
        <f t="shared" ref="I15:I20" si="3">G15*H15</f>
        <v>0</v>
      </c>
      <c r="J15" s="198">
        <f t="shared" ref="J15:J20" si="4">I15</f>
        <v>0</v>
      </c>
      <c r="K15" s="198">
        <f t="shared" ref="K15:K20" si="5">J15*0.05</f>
        <v>0</v>
      </c>
      <c r="L15" s="198">
        <f t="shared" ref="L15:L20" si="6">J15*0.1</f>
        <v>0</v>
      </c>
      <c r="M15" s="197">
        <f>(J15*'Agency Base Data'!$D$6)+(K15*'Agency Base Data'!$D$4)+(L15*'Agency Base Data'!$D$5)</f>
        <v>0</v>
      </c>
      <c r="N15" s="208" t="s">
        <v>100</v>
      </c>
      <c r="O15" s="340"/>
    </row>
    <row r="16" spans="1:16" ht="15" customHeight="1" x14ac:dyDescent="0.2">
      <c r="A16" s="203" t="s">
        <v>158</v>
      </c>
      <c r="B16" s="202" t="s">
        <v>157</v>
      </c>
      <c r="C16" s="202"/>
      <c r="D16" s="205"/>
      <c r="E16" s="201"/>
      <c r="F16" s="204"/>
      <c r="G16" s="199"/>
      <c r="H16" s="198"/>
      <c r="I16" s="198"/>
      <c r="J16" s="198"/>
      <c r="K16" s="198"/>
      <c r="L16" s="198"/>
      <c r="M16" s="197"/>
      <c r="N16" s="196"/>
      <c r="O16" s="340"/>
    </row>
    <row r="17" spans="1:20" ht="15" customHeight="1" x14ac:dyDescent="0.2">
      <c r="A17" s="203"/>
      <c r="B17" s="202" t="s">
        <v>156</v>
      </c>
      <c r="C17" s="202" t="s">
        <v>179</v>
      </c>
      <c r="D17" s="202"/>
      <c r="E17" s="201"/>
      <c r="F17" s="204"/>
      <c r="G17" s="199">
        <v>1</v>
      </c>
      <c r="H17" s="198">
        <f>'Respondent Yr1'!I15</f>
        <v>7</v>
      </c>
      <c r="I17" s="198">
        <f t="shared" si="3"/>
        <v>7</v>
      </c>
      <c r="J17" s="198">
        <f t="shared" si="4"/>
        <v>7</v>
      </c>
      <c r="K17" s="198">
        <f t="shared" si="5"/>
        <v>0.35000000000000003</v>
      </c>
      <c r="L17" s="198">
        <f t="shared" si="6"/>
        <v>0.70000000000000007</v>
      </c>
      <c r="M17" s="197">
        <f>(J17*'Agency Base Data'!$D$6)+(K17*'Agency Base Data'!$D$4)+(L17*'Agency Base Data'!$D$5)</f>
        <v>370.03680000000003</v>
      </c>
      <c r="N17" s="208" t="s">
        <v>101</v>
      </c>
      <c r="O17" s="340"/>
      <c r="P17" s="336"/>
    </row>
    <row r="18" spans="1:20" ht="15" customHeight="1" x14ac:dyDescent="0.2">
      <c r="A18" s="203"/>
      <c r="B18" s="202" t="s">
        <v>155</v>
      </c>
      <c r="C18" s="202" t="s">
        <v>182</v>
      </c>
      <c r="D18" s="202"/>
      <c r="E18" s="201"/>
      <c r="F18" s="204"/>
      <c r="G18" s="199">
        <v>2</v>
      </c>
      <c r="H18" s="198">
        <f>'Respondent Yr1'!I17+'Respondent Yr1'!I18</f>
        <v>30</v>
      </c>
      <c r="I18" s="198">
        <f t="shared" si="3"/>
        <v>60</v>
      </c>
      <c r="J18" s="198">
        <f t="shared" si="4"/>
        <v>60</v>
      </c>
      <c r="K18" s="198">
        <f t="shared" si="5"/>
        <v>3</v>
      </c>
      <c r="L18" s="198">
        <f t="shared" si="6"/>
        <v>6</v>
      </c>
      <c r="M18" s="197">
        <f>(J18*'Agency Base Data'!$D$6)+(K18*'Agency Base Data'!$D$4)+(L18*'Agency Base Data'!$D$5)</f>
        <v>3171.7439999999997</v>
      </c>
      <c r="N18" s="208" t="s">
        <v>102</v>
      </c>
      <c r="O18" s="340"/>
    </row>
    <row r="19" spans="1:20" ht="15" customHeight="1" x14ac:dyDescent="0.2">
      <c r="A19" s="203"/>
      <c r="B19" s="202" t="s">
        <v>154</v>
      </c>
      <c r="C19" s="202" t="s">
        <v>184</v>
      </c>
      <c r="D19" s="229"/>
      <c r="E19" s="229"/>
      <c r="F19" s="230"/>
      <c r="G19" s="199">
        <v>1</v>
      </c>
      <c r="H19" s="198">
        <v>0</v>
      </c>
      <c r="I19" s="198">
        <f t="shared" si="3"/>
        <v>0</v>
      </c>
      <c r="J19" s="198">
        <f t="shared" si="4"/>
        <v>0</v>
      </c>
      <c r="K19" s="198">
        <f t="shared" si="5"/>
        <v>0</v>
      </c>
      <c r="L19" s="198">
        <f t="shared" si="6"/>
        <v>0</v>
      </c>
      <c r="M19" s="197">
        <f>(J19*'Agency Base Data'!$D$6)+(K19*'Agency Base Data'!$D$4)+(L19*'Agency Base Data'!$D$5)</f>
        <v>0</v>
      </c>
      <c r="N19" s="208" t="s">
        <v>103</v>
      </c>
      <c r="O19" s="340"/>
    </row>
    <row r="20" spans="1:20" ht="15" customHeight="1" x14ac:dyDescent="0.2">
      <c r="A20" s="203"/>
      <c r="B20" s="202" t="s">
        <v>153</v>
      </c>
      <c r="C20" s="228" t="s">
        <v>185</v>
      </c>
      <c r="G20" s="199">
        <v>1</v>
      </c>
      <c r="H20" s="198">
        <v>0</v>
      </c>
      <c r="I20" s="198">
        <f t="shared" si="3"/>
        <v>0</v>
      </c>
      <c r="J20" s="198">
        <f t="shared" si="4"/>
        <v>0</v>
      </c>
      <c r="K20" s="198">
        <f t="shared" si="5"/>
        <v>0</v>
      </c>
      <c r="L20" s="198">
        <f t="shared" si="6"/>
        <v>0</v>
      </c>
      <c r="M20" s="197">
        <f>(J20*'Agency Base Data'!$D$6)+(K20*'Agency Base Data'!$D$4)+(L20*'Agency Base Data'!$D$5)</f>
        <v>0</v>
      </c>
      <c r="N20" s="208" t="s">
        <v>103</v>
      </c>
      <c r="O20" s="340"/>
    </row>
    <row r="21" spans="1:20" ht="15" customHeight="1" x14ac:dyDescent="0.2">
      <c r="A21" s="203"/>
      <c r="B21" s="202" t="s">
        <v>165</v>
      </c>
      <c r="C21" s="202" t="s">
        <v>180</v>
      </c>
      <c r="D21" s="202"/>
      <c r="E21" s="201"/>
      <c r="F21" s="204"/>
      <c r="G21" s="199">
        <v>15</v>
      </c>
      <c r="H21" s="198">
        <f>'Respondent Yr1'!I21</f>
        <v>101</v>
      </c>
      <c r="I21" s="198">
        <f>G21*H21</f>
        <v>1515</v>
      </c>
      <c r="J21" s="198">
        <f>I21</f>
        <v>1515</v>
      </c>
      <c r="K21" s="198">
        <f>J21*0.05</f>
        <v>75.75</v>
      </c>
      <c r="L21" s="198">
        <f>J21*0.1</f>
        <v>151.5</v>
      </c>
      <c r="M21" s="197">
        <f>(J21*'Agency Base Data'!$D$6)+(K21*'Agency Base Data'!$D$4)+(L21*'Agency Base Data'!$D$5)</f>
        <v>80086.535999999993</v>
      </c>
      <c r="N21" s="208" t="s">
        <v>98</v>
      </c>
      <c r="O21" s="340"/>
      <c r="P21" s="336"/>
    </row>
    <row r="22" spans="1:20" ht="15" customHeight="1" x14ac:dyDescent="0.2">
      <c r="A22" s="203"/>
      <c r="B22" s="202" t="s">
        <v>163</v>
      </c>
      <c r="C22" s="202" t="s">
        <v>845</v>
      </c>
      <c r="D22" s="202"/>
      <c r="E22" s="201"/>
      <c r="F22" s="204"/>
      <c r="G22" s="199">
        <v>5</v>
      </c>
      <c r="H22" s="198">
        <f>'Respondent Yr1'!I22</f>
        <v>10.100000000000001</v>
      </c>
      <c r="I22" s="198">
        <f>G22*H22</f>
        <v>50.500000000000007</v>
      </c>
      <c r="J22" s="198">
        <f>I22</f>
        <v>50.500000000000007</v>
      </c>
      <c r="K22" s="198">
        <f>J22*0.05</f>
        <v>2.5250000000000004</v>
      </c>
      <c r="L22" s="198">
        <f>J22*0.1</f>
        <v>5.0500000000000007</v>
      </c>
      <c r="M22" s="197">
        <f>(J22*'Agency Base Data'!$D$6)+(K22*'Agency Base Data'!$D$4)+(L22*'Agency Base Data'!$D$5)</f>
        <v>2669.5511999999999</v>
      </c>
      <c r="N22" s="208" t="s">
        <v>63</v>
      </c>
      <c r="O22" s="340"/>
    </row>
    <row r="23" spans="1:20" ht="15" customHeight="1" x14ac:dyDescent="0.2">
      <c r="A23" s="203"/>
      <c r="B23" s="202" t="s">
        <v>186</v>
      </c>
      <c r="C23" s="202" t="s">
        <v>189</v>
      </c>
      <c r="D23" s="202"/>
      <c r="E23" s="201"/>
      <c r="F23" s="200"/>
      <c r="G23" s="199">
        <v>12</v>
      </c>
      <c r="H23" s="198">
        <f>H$12</f>
        <v>101</v>
      </c>
      <c r="I23" s="198">
        <f>G23*H23</f>
        <v>1212</v>
      </c>
      <c r="J23" s="198">
        <f>I23</f>
        <v>1212</v>
      </c>
      <c r="K23" s="198">
        <f>J23*0.05</f>
        <v>60.6</v>
      </c>
      <c r="L23" s="198">
        <f>J23*0.1</f>
        <v>121.2</v>
      </c>
      <c r="M23" s="197">
        <f>(J23*'Agency Base Data'!$D$6)+(K23*'Agency Base Data'!$D$4)+(L23*'Agency Base Data'!$D$5)</f>
        <v>64069.22879999999</v>
      </c>
      <c r="N23" s="208" t="s">
        <v>98</v>
      </c>
      <c r="O23" s="340"/>
      <c r="P23" s="336"/>
    </row>
    <row r="24" spans="1:20" ht="15" customHeight="1" x14ac:dyDescent="0.2">
      <c r="A24" s="203"/>
      <c r="B24" s="202" t="s">
        <v>846</v>
      </c>
      <c r="C24" s="202" t="s">
        <v>183</v>
      </c>
      <c r="D24" s="202"/>
      <c r="E24" s="201"/>
      <c r="F24" s="200"/>
      <c r="G24" s="199">
        <v>2</v>
      </c>
      <c r="H24" s="198">
        <f>H$11</f>
        <v>101</v>
      </c>
      <c r="I24" s="198">
        <f>G24*H24</f>
        <v>202</v>
      </c>
      <c r="J24" s="198">
        <f>I24</f>
        <v>202</v>
      </c>
      <c r="K24" s="198">
        <f>J24*0.05</f>
        <v>10.100000000000001</v>
      </c>
      <c r="L24" s="198">
        <f>J24*0.1</f>
        <v>20.200000000000003</v>
      </c>
      <c r="M24" s="197">
        <f>(J24*'Agency Base Data'!$D$6)+(K24*'Agency Base Data'!$D$4)+(L24*'Agency Base Data'!$D$5)</f>
        <v>10678.2048</v>
      </c>
      <c r="N24" s="208"/>
    </row>
    <row r="25" spans="1:20" ht="24.75" customHeight="1" thickBot="1" x14ac:dyDescent="0.25">
      <c r="A25" s="195" t="s">
        <v>152</v>
      </c>
      <c r="B25" s="194" t="s">
        <v>151</v>
      </c>
      <c r="C25" s="193"/>
      <c r="D25" s="192"/>
      <c r="E25" s="192"/>
      <c r="F25" s="178"/>
      <c r="G25" s="499" t="s">
        <v>1192</v>
      </c>
      <c r="H25" s="500"/>
      <c r="I25" s="500"/>
      <c r="J25" s="501"/>
      <c r="K25" s="191"/>
      <c r="L25" s="176"/>
      <c r="M25" s="190">
        <f>(('Agency Base Data'!$C$14*('Agency Base Data'!$C$11+'Agency Base Data'!$C$12))+'Agency Base Data'!$C$13)*SUM(H8:H9)</f>
        <v>45571.200000000004</v>
      </c>
      <c r="N25" s="234" t="s">
        <v>105</v>
      </c>
      <c r="P25" s="169"/>
    </row>
    <row r="26" spans="1:20" x14ac:dyDescent="0.2">
      <c r="A26" s="189" t="s">
        <v>150</v>
      </c>
      <c r="B26" s="187"/>
      <c r="C26" s="188"/>
      <c r="D26" s="187"/>
      <c r="E26" s="186"/>
      <c r="F26" s="185"/>
      <c r="G26" s="184"/>
      <c r="H26" s="184"/>
      <c r="I26" s="184"/>
      <c r="J26" s="183">
        <f>SUM(J5:J24)</f>
        <v>4698.8999999999996</v>
      </c>
      <c r="K26" s="183">
        <f>SUM(K5:K24)</f>
        <v>234.94499999999999</v>
      </c>
      <c r="L26" s="183">
        <f>SUM(L5:L24)</f>
        <v>469.89</v>
      </c>
      <c r="M26" s="182">
        <f>SUM(M5:M25)</f>
        <v>309399.13136</v>
      </c>
      <c r="N26" s="181"/>
      <c r="O26" s="169"/>
      <c r="P26" s="169"/>
      <c r="Q26" s="169"/>
      <c r="R26" s="169"/>
      <c r="S26" s="169"/>
      <c r="T26" s="169"/>
    </row>
    <row r="27" spans="1:20" ht="13.5" thickBot="1" x14ac:dyDescent="0.25">
      <c r="A27" s="180" t="s">
        <v>149</v>
      </c>
      <c r="B27" s="179"/>
      <c r="C27" s="179"/>
      <c r="D27" s="179"/>
      <c r="E27" s="179"/>
      <c r="F27" s="179"/>
      <c r="G27" s="178"/>
      <c r="H27" s="178"/>
      <c r="I27" s="178"/>
      <c r="J27" s="177"/>
      <c r="K27" s="176"/>
      <c r="L27" s="175">
        <f>(SUM(J5:J24))+(SUM(K5:K24))+(SUM(L5:L24))</f>
        <v>5403.7349999999997</v>
      </c>
      <c r="M27" s="174"/>
      <c r="N27" s="173"/>
      <c r="O27" s="169"/>
      <c r="P27" s="169"/>
      <c r="Q27" s="169"/>
      <c r="R27" s="169"/>
      <c r="S27" s="169"/>
      <c r="T27" s="169"/>
    </row>
    <row r="28" spans="1:20" ht="6.75" customHeight="1" x14ac:dyDescent="0.2">
      <c r="G28" s="164"/>
      <c r="H28" s="164"/>
      <c r="I28" s="164"/>
      <c r="O28" s="169"/>
      <c r="P28" s="169"/>
      <c r="Q28" s="169"/>
      <c r="R28" s="169"/>
      <c r="S28" s="169"/>
      <c r="T28" s="169"/>
    </row>
    <row r="29" spans="1:20" s="169" customFormat="1" ht="11.25" x14ac:dyDescent="0.2">
      <c r="A29" s="169" t="s">
        <v>1204</v>
      </c>
      <c r="J29" s="172"/>
      <c r="K29" s="172"/>
      <c r="L29" s="172"/>
      <c r="M29" s="171"/>
      <c r="N29" s="170"/>
    </row>
    <row r="30" spans="1:20" s="169" customFormat="1" x14ac:dyDescent="0.2">
      <c r="A30" s="498" t="s">
        <v>849</v>
      </c>
      <c r="B30" s="498"/>
      <c r="C30" s="498"/>
      <c r="D30" s="498"/>
      <c r="E30" s="498"/>
      <c r="F30" s="498"/>
      <c r="G30" s="498"/>
      <c r="H30" s="498"/>
      <c r="I30" s="498"/>
      <c r="J30" s="498"/>
      <c r="K30" s="498"/>
      <c r="L30" s="498"/>
      <c r="M30" s="498"/>
      <c r="N30" s="498"/>
      <c r="P30" s="164"/>
      <c r="Q30" s="164"/>
      <c r="R30" s="164"/>
    </row>
    <row r="31" spans="1:20" s="169" customFormat="1" ht="25.5" customHeight="1" x14ac:dyDescent="0.2">
      <c r="A31" s="502" t="s">
        <v>1213</v>
      </c>
      <c r="B31" s="502"/>
      <c r="C31" s="502"/>
      <c r="D31" s="502"/>
      <c r="E31" s="502"/>
      <c r="F31" s="502"/>
      <c r="G31" s="502"/>
      <c r="H31" s="502"/>
      <c r="I31" s="502"/>
      <c r="J31" s="502"/>
      <c r="K31" s="502"/>
      <c r="L31" s="502"/>
      <c r="M31" s="502"/>
      <c r="N31" s="502"/>
      <c r="P31" s="164"/>
      <c r="Q31" s="164"/>
      <c r="R31" s="164"/>
      <c r="S31" s="164"/>
      <c r="T31" s="164"/>
    </row>
    <row r="32" spans="1:20" s="169" customFormat="1" ht="11.25" x14ac:dyDescent="0.2">
      <c r="A32" s="498" t="s">
        <v>1214</v>
      </c>
      <c r="B32" s="498"/>
      <c r="C32" s="498"/>
      <c r="D32" s="498"/>
      <c r="E32" s="498"/>
      <c r="F32" s="498"/>
      <c r="G32" s="498"/>
      <c r="H32" s="498"/>
      <c r="I32" s="498"/>
      <c r="J32" s="498"/>
      <c r="K32" s="498"/>
      <c r="L32" s="498"/>
      <c r="M32" s="498"/>
      <c r="N32" s="498"/>
      <c r="O32" s="337"/>
    </row>
    <row r="33" spans="1:15" x14ac:dyDescent="0.2">
      <c r="A33" s="498" t="s">
        <v>1205</v>
      </c>
      <c r="B33" s="498"/>
      <c r="C33" s="498"/>
      <c r="D33" s="498"/>
      <c r="E33" s="498"/>
      <c r="F33" s="498"/>
      <c r="G33" s="498"/>
      <c r="H33" s="498"/>
      <c r="I33" s="498"/>
      <c r="J33" s="498"/>
      <c r="K33" s="498"/>
      <c r="L33" s="498"/>
      <c r="M33" s="498"/>
      <c r="N33" s="498"/>
      <c r="O33" s="337"/>
    </row>
    <row r="34" spans="1:15" s="169" customFormat="1" ht="12.75" customHeight="1" x14ac:dyDescent="0.2">
      <c r="A34" s="169" t="s">
        <v>1194</v>
      </c>
    </row>
    <row r="35" spans="1:15" s="169" customFormat="1" ht="12.75" customHeight="1" x14ac:dyDescent="0.2">
      <c r="A35" s="169" t="s">
        <v>1195</v>
      </c>
    </row>
    <row r="36" spans="1:15" s="169" customFormat="1" ht="21.75" customHeight="1" x14ac:dyDescent="0.2">
      <c r="A36" s="498" t="s">
        <v>1230</v>
      </c>
      <c r="B36" s="498"/>
      <c r="C36" s="498"/>
      <c r="D36" s="498"/>
      <c r="E36" s="498"/>
      <c r="F36" s="498"/>
      <c r="G36" s="498"/>
      <c r="H36" s="498"/>
      <c r="I36" s="498"/>
      <c r="J36" s="498"/>
      <c r="K36" s="498"/>
      <c r="L36" s="498"/>
      <c r="M36" s="498"/>
      <c r="N36" s="498"/>
      <c r="O36" s="337"/>
    </row>
    <row r="37" spans="1:15" s="169" customFormat="1" ht="11.25" customHeight="1" x14ac:dyDescent="0.2">
      <c r="A37" s="169" t="s">
        <v>1196</v>
      </c>
      <c r="J37" s="172"/>
      <c r="K37" s="172"/>
      <c r="L37" s="172"/>
      <c r="M37" s="171"/>
      <c r="N37" s="170"/>
      <c r="O37" s="164"/>
    </row>
    <row r="38" spans="1:15" x14ac:dyDescent="0.2">
      <c r="A38" s="169" t="s">
        <v>1197</v>
      </c>
      <c r="B38" s="336"/>
      <c r="C38" s="336"/>
      <c r="D38" s="336"/>
      <c r="E38" s="336"/>
      <c r="F38" s="336"/>
      <c r="G38" s="336"/>
      <c r="H38" s="336"/>
      <c r="I38" s="336"/>
      <c r="J38" s="343"/>
      <c r="K38" s="343"/>
      <c r="L38" s="343"/>
      <c r="M38" s="344"/>
      <c r="N38" s="345"/>
    </row>
    <row r="39" spans="1:15" x14ac:dyDescent="0.2">
      <c r="A39" s="169" t="s">
        <v>1198</v>
      </c>
      <c r="B39" s="336"/>
      <c r="C39" s="336"/>
      <c r="D39" s="336"/>
      <c r="E39" s="336"/>
      <c r="F39" s="336"/>
      <c r="G39" s="336"/>
      <c r="H39" s="336"/>
      <c r="I39" s="336"/>
      <c r="J39" s="343"/>
      <c r="K39" s="343"/>
      <c r="L39" s="343"/>
      <c r="M39" s="344"/>
      <c r="N39" s="345"/>
    </row>
    <row r="40" spans="1:15" ht="39" customHeight="1" x14ac:dyDescent="0.2">
      <c r="A40" s="498" t="s">
        <v>1199</v>
      </c>
      <c r="B40" s="498"/>
      <c r="C40" s="498"/>
      <c r="D40" s="498"/>
      <c r="E40" s="498"/>
      <c r="F40" s="498"/>
      <c r="G40" s="498"/>
      <c r="H40" s="498"/>
      <c r="I40" s="498"/>
      <c r="J40" s="498"/>
      <c r="K40" s="498"/>
      <c r="L40" s="498"/>
      <c r="M40" s="498"/>
      <c r="N40" s="498"/>
    </row>
    <row r="41" spans="1:15" ht="23.25" customHeight="1" x14ac:dyDescent="0.2">
      <c r="A41" s="498" t="s">
        <v>1203</v>
      </c>
      <c r="B41" s="498"/>
      <c r="C41" s="498"/>
      <c r="D41" s="498"/>
      <c r="E41" s="498"/>
      <c r="F41" s="498"/>
      <c r="G41" s="498"/>
      <c r="H41" s="498"/>
      <c r="I41" s="498"/>
      <c r="J41" s="498"/>
      <c r="K41" s="498"/>
      <c r="L41" s="498"/>
      <c r="M41" s="498"/>
      <c r="N41" s="498"/>
    </row>
    <row r="42" spans="1:15" ht="15.75" x14ac:dyDescent="0.2">
      <c r="A42" s="341"/>
    </row>
    <row r="43" spans="1:15" x14ac:dyDescent="0.2">
      <c r="A43" s="168"/>
      <c r="F43" s="227"/>
    </row>
    <row r="45" spans="1:15" x14ac:dyDescent="0.2">
      <c r="A45" s="168"/>
    </row>
    <row r="46" spans="1:15" x14ac:dyDescent="0.2">
      <c r="A46" s="168"/>
    </row>
    <row r="48" spans="1:15" x14ac:dyDescent="0.2">
      <c r="J48" s="166"/>
    </row>
    <row r="50" spans="7:10" x14ac:dyDescent="0.2">
      <c r="G50" s="221"/>
      <c r="H50" s="221"/>
      <c r="J50" s="166"/>
    </row>
    <row r="51" spans="7:10" x14ac:dyDescent="0.2">
      <c r="G51" s="222"/>
      <c r="H51" s="222"/>
    </row>
    <row r="52" spans="7:10" x14ac:dyDescent="0.2">
      <c r="G52" s="223"/>
      <c r="H52" s="222"/>
    </row>
    <row r="53" spans="7:10" x14ac:dyDescent="0.2">
      <c r="G53" s="222"/>
      <c r="H53" s="222"/>
    </row>
  </sheetData>
  <mergeCells count="12">
    <mergeCell ref="A1:N1"/>
    <mergeCell ref="A2:N2"/>
    <mergeCell ref="A30:N30"/>
    <mergeCell ref="B6:F6"/>
    <mergeCell ref="C15:F15"/>
    <mergeCell ref="A41:N41"/>
    <mergeCell ref="A32:N32"/>
    <mergeCell ref="A40:N40"/>
    <mergeCell ref="G25:J25"/>
    <mergeCell ref="A31:N31"/>
    <mergeCell ref="A36:N36"/>
    <mergeCell ref="A33:N33"/>
  </mergeCells>
  <pageMargins left="0.25" right="0.25" top="0.5" bottom="0.5" header="0.5" footer="0.5"/>
  <pageSetup scale="7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opLeftCell="G26" zoomScale="145" zoomScaleNormal="145" workbookViewId="0">
      <selection activeCell="A4" sqref="A4:XFD4"/>
    </sheetView>
  </sheetViews>
  <sheetFormatPr defaultRowHeight="12.75" x14ac:dyDescent="0.2"/>
  <cols>
    <col min="1" max="1" width="2.28515625" style="164" customWidth="1"/>
    <col min="2" max="2" width="2.42578125" style="164" customWidth="1"/>
    <col min="3" max="3" width="2.140625" style="164" customWidth="1"/>
    <col min="4" max="4" width="1.42578125" style="164" customWidth="1"/>
    <col min="5" max="5" width="2.42578125" style="164" customWidth="1"/>
    <col min="6" max="6" width="44.7109375" style="164" customWidth="1"/>
    <col min="7" max="7" width="12" style="167" customWidth="1"/>
    <col min="8" max="8" width="13" style="167" customWidth="1"/>
    <col min="9" max="9" width="14.28515625" style="167" customWidth="1"/>
    <col min="10" max="10" width="10.5703125" style="167" customWidth="1"/>
    <col min="11" max="11" width="12.7109375" style="167" customWidth="1"/>
    <col min="12" max="12" width="14" style="167" customWidth="1"/>
    <col min="13" max="13" width="13" style="166" customWidth="1"/>
    <col min="14" max="14" width="6.7109375" style="165" customWidth="1"/>
    <col min="15" max="15" width="15.28515625" style="164" customWidth="1"/>
    <col min="16" max="16384" width="9.140625" style="164"/>
  </cols>
  <sheetData>
    <row r="1" spans="1:15" x14ac:dyDescent="0.2">
      <c r="A1" s="503" t="s">
        <v>1244</v>
      </c>
      <c r="B1" s="503"/>
      <c r="C1" s="503"/>
      <c r="D1" s="503"/>
      <c r="E1" s="503"/>
      <c r="F1" s="503"/>
      <c r="G1" s="503"/>
      <c r="H1" s="503"/>
      <c r="I1" s="503"/>
      <c r="J1" s="503"/>
      <c r="K1" s="503"/>
      <c r="L1" s="503"/>
      <c r="M1" s="503"/>
      <c r="N1" s="503"/>
    </row>
    <row r="2" spans="1:15" ht="12" customHeight="1" x14ac:dyDescent="0.2">
      <c r="A2" s="503" t="s">
        <v>1178</v>
      </c>
      <c r="B2" s="503"/>
      <c r="C2" s="503"/>
      <c r="D2" s="503"/>
      <c r="E2" s="503"/>
      <c r="F2" s="503"/>
      <c r="G2" s="503"/>
      <c r="H2" s="503"/>
      <c r="I2" s="503"/>
      <c r="J2" s="503"/>
      <c r="K2" s="503"/>
      <c r="L2" s="503"/>
      <c r="M2" s="503"/>
      <c r="N2" s="503"/>
    </row>
    <row r="3" spans="1:15" ht="15" customHeight="1" thickBot="1" x14ac:dyDescent="0.25"/>
    <row r="4" spans="1:15" s="215" customFormat="1" ht="68.25" customHeight="1" x14ac:dyDescent="0.2">
      <c r="A4" s="220" t="s">
        <v>88</v>
      </c>
      <c r="B4" s="219"/>
      <c r="C4" s="219"/>
      <c r="D4" s="219"/>
      <c r="E4" s="219"/>
      <c r="F4" s="219"/>
      <c r="G4" s="218" t="s">
        <v>176</v>
      </c>
      <c r="H4" s="218" t="s">
        <v>175</v>
      </c>
      <c r="I4" s="218" t="s">
        <v>174</v>
      </c>
      <c r="J4" s="218" t="s">
        <v>173</v>
      </c>
      <c r="K4" s="218" t="s">
        <v>847</v>
      </c>
      <c r="L4" s="218" t="s">
        <v>172</v>
      </c>
      <c r="M4" s="217" t="s">
        <v>850</v>
      </c>
      <c r="N4" s="216" t="s">
        <v>87</v>
      </c>
      <c r="O4" s="339"/>
    </row>
    <row r="5" spans="1:15" x14ac:dyDescent="0.2">
      <c r="A5" s="214" t="s">
        <v>171</v>
      </c>
      <c r="B5" s="213" t="s">
        <v>170</v>
      </c>
      <c r="C5" s="213"/>
      <c r="D5" s="213"/>
      <c r="E5" s="213"/>
      <c r="F5" s="212"/>
      <c r="G5" s="211">
        <v>40</v>
      </c>
      <c r="H5" s="211">
        <v>0</v>
      </c>
      <c r="I5" s="210">
        <f>G5*H5</f>
        <v>0</v>
      </c>
      <c r="J5" s="210">
        <f>I5</f>
        <v>0</v>
      </c>
      <c r="K5" s="210">
        <f>J5*0.05</f>
        <v>0</v>
      </c>
      <c r="L5" s="210">
        <f>J5*0.1</f>
        <v>0</v>
      </c>
      <c r="M5" s="209">
        <f>(J5*'Agency Base Data'!$D$6)+(K5*'Agency Base Data'!$D$4)+(L5*'Agency Base Data'!$D$5)</f>
        <v>0</v>
      </c>
      <c r="N5" s="342" t="s">
        <v>75</v>
      </c>
      <c r="O5" s="336"/>
    </row>
    <row r="6" spans="1:15" ht="28.5" customHeight="1" x14ac:dyDescent="0.2">
      <c r="A6" s="203" t="s">
        <v>169</v>
      </c>
      <c r="B6" s="504" t="s">
        <v>168</v>
      </c>
      <c r="C6" s="504"/>
      <c r="D6" s="504"/>
      <c r="E6" s="504"/>
      <c r="F6" s="504"/>
      <c r="G6" s="199">
        <v>2</v>
      </c>
      <c r="H6" s="198">
        <f>'Respondent Yr2'!I35</f>
        <v>104</v>
      </c>
      <c r="I6" s="198">
        <f>G6*H6</f>
        <v>208</v>
      </c>
      <c r="J6" s="198">
        <f>I6</f>
        <v>208</v>
      </c>
      <c r="K6" s="198">
        <f>J6*0.05</f>
        <v>10.4</v>
      </c>
      <c r="L6" s="198">
        <f>J6*0.1</f>
        <v>20.8</v>
      </c>
      <c r="M6" s="197">
        <f>(J6*'Agency Base Data'!$D$6)+(K6*'Agency Base Data'!$D$4)+(L6*'Agency Base Data'!$D$5)</f>
        <v>10995.379199999999</v>
      </c>
      <c r="N6" s="196" t="s">
        <v>97</v>
      </c>
    </row>
    <row r="7" spans="1:15" ht="15" customHeight="1" x14ac:dyDescent="0.2">
      <c r="A7" s="203" t="s">
        <v>167</v>
      </c>
      <c r="B7" s="202" t="s">
        <v>166</v>
      </c>
      <c r="C7" s="207"/>
      <c r="D7" s="205"/>
      <c r="E7" s="205"/>
      <c r="F7" s="204"/>
      <c r="G7" s="199"/>
      <c r="H7" s="199"/>
      <c r="I7" s="198"/>
      <c r="J7" s="198"/>
      <c r="K7" s="198"/>
      <c r="L7" s="198"/>
      <c r="M7" s="197"/>
      <c r="N7" s="196"/>
    </row>
    <row r="8" spans="1:15" ht="15" customHeight="1" x14ac:dyDescent="0.2">
      <c r="A8" s="203"/>
      <c r="B8" s="202" t="s">
        <v>156</v>
      </c>
      <c r="C8" s="202" t="s">
        <v>177</v>
      </c>
      <c r="D8" s="205"/>
      <c r="E8" s="201"/>
      <c r="F8" s="204"/>
      <c r="G8" s="199">
        <v>12</v>
      </c>
      <c r="H8" s="198">
        <f>'Respondent Yr2'!I9*0.2</f>
        <v>0.60000000000000009</v>
      </c>
      <c r="I8" s="198">
        <f>G8*H8</f>
        <v>7.2000000000000011</v>
      </c>
      <c r="J8" s="198">
        <f t="shared" ref="J8:J13" si="0">I8</f>
        <v>7.2000000000000011</v>
      </c>
      <c r="K8" s="198">
        <f t="shared" ref="K8:K13" si="1">J8*0.05</f>
        <v>0.3600000000000001</v>
      </c>
      <c r="L8" s="198">
        <f t="shared" ref="L8:L13" si="2">J8*0.1</f>
        <v>0.7200000000000002</v>
      </c>
      <c r="M8" s="197">
        <f>(J8*'Agency Base Data'!$D$6)+(K8*'Agency Base Data'!$D$4)+(L8*'Agency Base Data'!$D$5)</f>
        <v>380.60928000000007</v>
      </c>
      <c r="N8" s="208" t="s">
        <v>1193</v>
      </c>
      <c r="O8" s="336"/>
    </row>
    <row r="9" spans="1:15" ht="15" customHeight="1" x14ac:dyDescent="0.2">
      <c r="A9" s="203"/>
      <c r="B9" s="202" t="s">
        <v>155</v>
      </c>
      <c r="C9" s="202" t="s">
        <v>178</v>
      </c>
      <c r="D9" s="205"/>
      <c r="E9" s="201"/>
      <c r="F9" s="204"/>
      <c r="G9" s="199">
        <v>20</v>
      </c>
      <c r="H9" s="198">
        <f>'Respondent Yr2'!I10*0.2</f>
        <v>20.8</v>
      </c>
      <c r="I9" s="198">
        <f>G9*H9</f>
        <v>416</v>
      </c>
      <c r="J9" s="198">
        <f t="shared" si="0"/>
        <v>416</v>
      </c>
      <c r="K9" s="198">
        <f t="shared" si="1"/>
        <v>20.8</v>
      </c>
      <c r="L9" s="198">
        <f t="shared" si="2"/>
        <v>41.6</v>
      </c>
      <c r="M9" s="197">
        <f>(J9*'Agency Base Data'!$D$6)+(K9*'Agency Base Data'!$D$4)+(L9*'Agency Base Data'!$D$5)+H9*('Other Cost Basis'!B9+'Other Cost Basis'!B13+'Other Cost Basis'!B14)</f>
        <v>37881.958400000003</v>
      </c>
      <c r="N9" s="208" t="s">
        <v>65</v>
      </c>
    </row>
    <row r="10" spans="1:15" ht="15" customHeight="1" x14ac:dyDescent="0.2">
      <c r="A10" s="203"/>
      <c r="B10" s="202" t="s">
        <v>154</v>
      </c>
      <c r="C10" s="202" t="s">
        <v>164</v>
      </c>
      <c r="D10" s="205"/>
      <c r="E10" s="201"/>
      <c r="F10" s="204"/>
      <c r="G10" s="199">
        <v>1</v>
      </c>
      <c r="H10" s="198">
        <f>H21</f>
        <v>3</v>
      </c>
      <c r="I10" s="198">
        <f>G10*H10</f>
        <v>3</v>
      </c>
      <c r="J10" s="198">
        <f t="shared" si="0"/>
        <v>3</v>
      </c>
      <c r="K10" s="198">
        <f t="shared" si="1"/>
        <v>0.15000000000000002</v>
      </c>
      <c r="L10" s="198">
        <f t="shared" si="2"/>
        <v>0.30000000000000004</v>
      </c>
      <c r="M10" s="197">
        <f>(J10*'Agency Base Data'!$D$6)+(K10*'Agency Base Data'!$D$4)+(L10*'Agency Base Data'!$D$5)</f>
        <v>158.58719999999997</v>
      </c>
      <c r="N10" s="208" t="s">
        <v>98</v>
      </c>
      <c r="O10" s="336"/>
    </row>
    <row r="11" spans="1:15" ht="15" customHeight="1" x14ac:dyDescent="0.2">
      <c r="A11" s="203"/>
      <c r="B11" s="202" t="s">
        <v>153</v>
      </c>
      <c r="C11" s="202" t="s">
        <v>162</v>
      </c>
      <c r="D11" s="205"/>
      <c r="E11" s="201"/>
      <c r="F11" s="204"/>
      <c r="G11" s="199">
        <v>1</v>
      </c>
      <c r="H11" s="198">
        <f>'Respondent Yr2'!I25</f>
        <v>104</v>
      </c>
      <c r="I11" s="198">
        <f>G11*H11</f>
        <v>104</v>
      </c>
      <c r="J11" s="198">
        <f t="shared" si="0"/>
        <v>104</v>
      </c>
      <c r="K11" s="198">
        <f t="shared" si="1"/>
        <v>5.2</v>
      </c>
      <c r="L11" s="198">
        <f t="shared" si="2"/>
        <v>10.4</v>
      </c>
      <c r="M11" s="197">
        <f>(J11*'Agency Base Data'!$D$6)+(K11*'Agency Base Data'!$D$4)+(L11*'Agency Base Data'!$D$5)</f>
        <v>5497.6895999999997</v>
      </c>
      <c r="N11" s="208" t="s">
        <v>67</v>
      </c>
    </row>
    <row r="12" spans="1:15" ht="15" customHeight="1" x14ac:dyDescent="0.2">
      <c r="A12" s="203"/>
      <c r="B12" s="202" t="s">
        <v>165</v>
      </c>
      <c r="C12" s="202" t="s">
        <v>848</v>
      </c>
      <c r="D12" s="205"/>
      <c r="E12" s="201"/>
      <c r="F12" s="204"/>
      <c r="G12" s="199">
        <v>2</v>
      </c>
      <c r="H12" s="198">
        <f>'Respondent Yr2'!I9</f>
        <v>3</v>
      </c>
      <c r="I12" s="198">
        <f>G12*H12</f>
        <v>6</v>
      </c>
      <c r="J12" s="198">
        <f t="shared" si="0"/>
        <v>6</v>
      </c>
      <c r="K12" s="198">
        <f t="shared" si="1"/>
        <v>0.30000000000000004</v>
      </c>
      <c r="L12" s="198">
        <f t="shared" si="2"/>
        <v>0.60000000000000009</v>
      </c>
      <c r="M12" s="197">
        <f>(J12*'Agency Base Data'!$D$6)+(K12*'Agency Base Data'!$D$4)+(L12*'Agency Base Data'!$D$5)</f>
        <v>317.17439999999993</v>
      </c>
      <c r="N12" s="208" t="s">
        <v>98</v>
      </c>
      <c r="O12" s="336"/>
    </row>
    <row r="13" spans="1:15" ht="15" customHeight="1" x14ac:dyDescent="0.2">
      <c r="A13" s="203" t="s">
        <v>161</v>
      </c>
      <c r="B13" s="202" t="s">
        <v>181</v>
      </c>
      <c r="C13" s="202"/>
      <c r="D13" s="205"/>
      <c r="E13" s="201"/>
      <c r="F13" s="204"/>
      <c r="G13" s="199">
        <v>24</v>
      </c>
      <c r="H13" s="198">
        <f>H12*0.1</f>
        <v>0.30000000000000004</v>
      </c>
      <c r="I13" s="198">
        <v>0</v>
      </c>
      <c r="J13" s="198">
        <f t="shared" si="0"/>
        <v>0</v>
      </c>
      <c r="K13" s="198">
        <f t="shared" si="1"/>
        <v>0</v>
      </c>
      <c r="L13" s="198">
        <f t="shared" si="2"/>
        <v>0</v>
      </c>
      <c r="M13" s="197">
        <f>(J13*'Agency Base Data'!$D$6)+(K13*'Agency Base Data'!$D$4)+(L13*'Agency Base Data'!$D$5)</f>
        <v>0</v>
      </c>
      <c r="N13" s="208" t="s">
        <v>99</v>
      </c>
    </row>
    <row r="14" spans="1:15" ht="15.75" customHeight="1" x14ac:dyDescent="0.2">
      <c r="A14" s="203" t="s">
        <v>160</v>
      </c>
      <c r="B14" s="202" t="s">
        <v>159</v>
      </c>
      <c r="C14" s="207"/>
      <c r="D14" s="206"/>
      <c r="E14" s="201"/>
      <c r="F14" s="204"/>
      <c r="G14" s="199"/>
      <c r="H14" s="198"/>
      <c r="I14" s="198"/>
      <c r="J14" s="198"/>
      <c r="K14" s="198"/>
      <c r="L14" s="198"/>
      <c r="M14" s="197"/>
      <c r="N14" s="196"/>
    </row>
    <row r="15" spans="1:15" x14ac:dyDescent="0.2">
      <c r="A15" s="203"/>
      <c r="B15" s="202" t="s">
        <v>156</v>
      </c>
      <c r="C15" s="504" t="s">
        <v>1154</v>
      </c>
      <c r="D15" s="504"/>
      <c r="E15" s="504"/>
      <c r="F15" s="504"/>
      <c r="G15" s="199">
        <v>2</v>
      </c>
      <c r="H15" s="198">
        <f>'Respondent Yr2'!I16</f>
        <v>0</v>
      </c>
      <c r="I15" s="198">
        <f t="shared" ref="I15:I24" si="3">G15*H15</f>
        <v>0</v>
      </c>
      <c r="J15" s="198">
        <f t="shared" ref="J15:J24" si="4">I15</f>
        <v>0</v>
      </c>
      <c r="K15" s="198">
        <f t="shared" ref="K15:K24" si="5">J15*0.05</f>
        <v>0</v>
      </c>
      <c r="L15" s="198">
        <f t="shared" ref="L15:L24" si="6">J15*0.1</f>
        <v>0</v>
      </c>
      <c r="M15" s="197">
        <f>(J15*'Agency Base Data'!$D$6)+(K15*'Agency Base Data'!$D$4)+(L15*'Agency Base Data'!$D$5)</f>
        <v>0</v>
      </c>
      <c r="N15" s="208" t="s">
        <v>100</v>
      </c>
    </row>
    <row r="16" spans="1:15" ht="15" customHeight="1" x14ac:dyDescent="0.2">
      <c r="A16" s="203" t="s">
        <v>158</v>
      </c>
      <c r="B16" s="202" t="s">
        <v>157</v>
      </c>
      <c r="C16" s="202"/>
      <c r="D16" s="205"/>
      <c r="E16" s="201"/>
      <c r="F16" s="204"/>
      <c r="G16" s="199"/>
      <c r="H16" s="198"/>
      <c r="I16" s="198"/>
      <c r="J16" s="198"/>
      <c r="K16" s="198"/>
      <c r="L16" s="198"/>
      <c r="M16" s="197"/>
      <c r="N16" s="196"/>
    </row>
    <row r="17" spans="1:20" ht="15" customHeight="1" x14ac:dyDescent="0.2">
      <c r="A17" s="203"/>
      <c r="B17" s="202" t="s">
        <v>156</v>
      </c>
      <c r="C17" s="202" t="s">
        <v>179</v>
      </c>
      <c r="D17" s="202"/>
      <c r="E17" s="201"/>
      <c r="F17" s="204"/>
      <c r="G17" s="199">
        <v>1</v>
      </c>
      <c r="H17" s="198">
        <f>'Respondent Yr2'!I15</f>
        <v>0</v>
      </c>
      <c r="I17" s="198">
        <f t="shared" si="3"/>
        <v>0</v>
      </c>
      <c r="J17" s="198">
        <f t="shared" si="4"/>
        <v>0</v>
      </c>
      <c r="K17" s="198">
        <f t="shared" si="5"/>
        <v>0</v>
      </c>
      <c r="L17" s="198">
        <f t="shared" si="6"/>
        <v>0</v>
      </c>
      <c r="M17" s="197">
        <f>(J17*'Agency Base Data'!$D$6)+(K17*'Agency Base Data'!$D$4)+(L17*'Agency Base Data'!$D$5)</f>
        <v>0</v>
      </c>
      <c r="N17" s="208" t="s">
        <v>101</v>
      </c>
      <c r="O17" s="336"/>
    </row>
    <row r="18" spans="1:20" ht="15" customHeight="1" x14ac:dyDescent="0.2">
      <c r="A18" s="203"/>
      <c r="B18" s="202" t="s">
        <v>155</v>
      </c>
      <c r="C18" s="202" t="s">
        <v>182</v>
      </c>
      <c r="D18" s="202"/>
      <c r="E18" s="201"/>
      <c r="F18" s="204"/>
      <c r="G18" s="199">
        <v>2</v>
      </c>
      <c r="H18" s="198">
        <f>'Respondent Yr2'!I17+'Respondent Yr2'!I18</f>
        <v>21</v>
      </c>
      <c r="I18" s="198">
        <f t="shared" si="3"/>
        <v>42</v>
      </c>
      <c r="J18" s="198">
        <f t="shared" si="4"/>
        <v>42</v>
      </c>
      <c r="K18" s="198">
        <f t="shared" si="5"/>
        <v>2.1</v>
      </c>
      <c r="L18" s="198">
        <f t="shared" si="6"/>
        <v>4.2</v>
      </c>
      <c r="M18" s="197">
        <f>(J18*'Agency Base Data'!$D$6)+(K18*'Agency Base Data'!$D$4)+(L18*'Agency Base Data'!$D$5)</f>
        <v>2220.2207999999996</v>
      </c>
      <c r="N18" s="208" t="s">
        <v>102</v>
      </c>
    </row>
    <row r="19" spans="1:20" ht="15" customHeight="1" x14ac:dyDescent="0.2">
      <c r="A19" s="203"/>
      <c r="B19" s="202" t="s">
        <v>154</v>
      </c>
      <c r="C19" s="202" t="s">
        <v>184</v>
      </c>
      <c r="D19" s="229"/>
      <c r="E19" s="229"/>
      <c r="F19" s="230"/>
      <c r="G19" s="199">
        <v>1</v>
      </c>
      <c r="H19" s="198">
        <v>0</v>
      </c>
      <c r="I19" s="198">
        <f t="shared" si="3"/>
        <v>0</v>
      </c>
      <c r="J19" s="198">
        <f t="shared" si="4"/>
        <v>0</v>
      </c>
      <c r="K19" s="198">
        <f t="shared" si="5"/>
        <v>0</v>
      </c>
      <c r="L19" s="198">
        <f t="shared" si="6"/>
        <v>0</v>
      </c>
      <c r="M19" s="197">
        <f>(J19*'Agency Base Data'!$D$6)+(K19*'Agency Base Data'!$D$4)+(L19*'Agency Base Data'!$D$5)</f>
        <v>0</v>
      </c>
      <c r="N19" s="208" t="s">
        <v>103</v>
      </c>
    </row>
    <row r="20" spans="1:20" ht="15" customHeight="1" x14ac:dyDescent="0.2">
      <c r="A20" s="203"/>
      <c r="B20" s="202" t="s">
        <v>153</v>
      </c>
      <c r="C20" s="228" t="s">
        <v>185</v>
      </c>
      <c r="G20" s="199">
        <v>1</v>
      </c>
      <c r="H20" s="198">
        <v>0</v>
      </c>
      <c r="I20" s="198">
        <f t="shared" si="3"/>
        <v>0</v>
      </c>
      <c r="J20" s="198">
        <f t="shared" si="4"/>
        <v>0</v>
      </c>
      <c r="K20" s="198">
        <f t="shared" si="5"/>
        <v>0</v>
      </c>
      <c r="L20" s="198">
        <f t="shared" si="6"/>
        <v>0</v>
      </c>
      <c r="M20" s="197">
        <f>(J20*'Agency Base Data'!$D$6)+(K20*'Agency Base Data'!$D$4)+(L20*'Agency Base Data'!$D$5)</f>
        <v>0</v>
      </c>
      <c r="N20" s="208" t="s">
        <v>103</v>
      </c>
    </row>
    <row r="21" spans="1:20" ht="15" customHeight="1" x14ac:dyDescent="0.2">
      <c r="A21" s="203"/>
      <c r="B21" s="202" t="s">
        <v>165</v>
      </c>
      <c r="C21" s="202" t="s">
        <v>180</v>
      </c>
      <c r="D21" s="202"/>
      <c r="E21" s="201"/>
      <c r="F21" s="204"/>
      <c r="G21" s="199">
        <v>15</v>
      </c>
      <c r="H21" s="198">
        <f>'Respondent Yr2'!I21</f>
        <v>3</v>
      </c>
      <c r="I21" s="198">
        <f t="shared" si="3"/>
        <v>45</v>
      </c>
      <c r="J21" s="198">
        <f t="shared" si="4"/>
        <v>45</v>
      </c>
      <c r="K21" s="198">
        <f t="shared" si="5"/>
        <v>2.25</v>
      </c>
      <c r="L21" s="198">
        <f t="shared" si="6"/>
        <v>4.5</v>
      </c>
      <c r="M21" s="197">
        <f>(J21*'Agency Base Data'!$D$6)+(K21*'Agency Base Data'!$D$4)+(L21*'Agency Base Data'!$D$5)</f>
        <v>2378.808</v>
      </c>
      <c r="N21" s="208" t="s">
        <v>98</v>
      </c>
      <c r="O21" s="336"/>
    </row>
    <row r="22" spans="1:20" ht="15" customHeight="1" x14ac:dyDescent="0.2">
      <c r="A22" s="203"/>
      <c r="B22" s="202" t="s">
        <v>163</v>
      </c>
      <c r="C22" s="202" t="s">
        <v>845</v>
      </c>
      <c r="D22" s="202"/>
      <c r="E22" s="201"/>
      <c r="F22" s="204"/>
      <c r="G22" s="199">
        <v>5</v>
      </c>
      <c r="H22" s="198">
        <f>'Respondent Yr2'!I22</f>
        <v>0.30000000000000004</v>
      </c>
      <c r="I22" s="198">
        <f t="shared" si="3"/>
        <v>1.5000000000000002</v>
      </c>
      <c r="J22" s="198">
        <f t="shared" si="4"/>
        <v>1.5000000000000002</v>
      </c>
      <c r="K22" s="198">
        <f t="shared" si="5"/>
        <v>7.5000000000000011E-2</v>
      </c>
      <c r="L22" s="198">
        <f t="shared" si="6"/>
        <v>0.15000000000000002</v>
      </c>
      <c r="M22" s="197">
        <f>(J22*'Agency Base Data'!$D$6)+(K22*'Agency Base Data'!$D$4)+(L22*'Agency Base Data'!$D$5)</f>
        <v>79.293599999999998</v>
      </c>
      <c r="N22" s="208" t="s">
        <v>63</v>
      </c>
    </row>
    <row r="23" spans="1:20" ht="15" customHeight="1" x14ac:dyDescent="0.2">
      <c r="A23" s="203"/>
      <c r="B23" s="202" t="s">
        <v>186</v>
      </c>
      <c r="C23" s="202" t="s">
        <v>189</v>
      </c>
      <c r="D23" s="202"/>
      <c r="E23" s="201"/>
      <c r="F23" s="200"/>
      <c r="G23" s="199">
        <v>12</v>
      </c>
      <c r="H23" s="198">
        <f>H$12</f>
        <v>3</v>
      </c>
      <c r="I23" s="198">
        <f t="shared" si="3"/>
        <v>36</v>
      </c>
      <c r="J23" s="198">
        <f t="shared" si="4"/>
        <v>36</v>
      </c>
      <c r="K23" s="198">
        <f t="shared" si="5"/>
        <v>1.8</v>
      </c>
      <c r="L23" s="198">
        <f t="shared" si="6"/>
        <v>3.6</v>
      </c>
      <c r="M23" s="197">
        <f>(J23*'Agency Base Data'!$D$6)+(K23*'Agency Base Data'!$D$4)+(L23*'Agency Base Data'!$D$5)</f>
        <v>1903.0463999999997</v>
      </c>
      <c r="N23" s="208" t="s">
        <v>98</v>
      </c>
      <c r="O23" s="336"/>
    </row>
    <row r="24" spans="1:20" ht="15" customHeight="1" x14ac:dyDescent="0.2">
      <c r="A24" s="203"/>
      <c r="B24" s="202" t="s">
        <v>846</v>
      </c>
      <c r="C24" s="202" t="s">
        <v>183</v>
      </c>
      <c r="D24" s="202"/>
      <c r="E24" s="201"/>
      <c r="F24" s="200"/>
      <c r="G24" s="199">
        <v>2</v>
      </c>
      <c r="H24" s="198">
        <f>H11</f>
        <v>104</v>
      </c>
      <c r="I24" s="198">
        <f t="shared" si="3"/>
        <v>208</v>
      </c>
      <c r="J24" s="198">
        <f t="shared" si="4"/>
        <v>208</v>
      </c>
      <c r="K24" s="198">
        <f t="shared" si="5"/>
        <v>10.4</v>
      </c>
      <c r="L24" s="198">
        <f t="shared" si="6"/>
        <v>20.8</v>
      </c>
      <c r="M24" s="197">
        <f>(J24*'Agency Base Data'!$D$6)+(K24*'Agency Base Data'!$D$4)+(L24*'Agency Base Data'!$D$5)</f>
        <v>10995.379199999999</v>
      </c>
      <c r="N24" s="208"/>
    </row>
    <row r="25" spans="1:20" ht="24.75" customHeight="1" thickBot="1" x14ac:dyDescent="0.25">
      <c r="A25" s="195" t="s">
        <v>152</v>
      </c>
      <c r="B25" s="194" t="s">
        <v>151</v>
      </c>
      <c r="C25" s="193"/>
      <c r="D25" s="192"/>
      <c r="E25" s="192"/>
      <c r="F25" s="178"/>
      <c r="G25" s="499" t="s">
        <v>1192</v>
      </c>
      <c r="H25" s="500"/>
      <c r="I25" s="500"/>
      <c r="J25" s="501"/>
      <c r="K25" s="191"/>
      <c r="L25" s="176"/>
      <c r="M25" s="190">
        <f>(('Agency Base Data'!$C$14*('Agency Base Data'!$C$11+'Agency Base Data'!$C$12))+'Agency Base Data'!$C$13)*SUM(H8:H9)</f>
        <v>24139.200000000001</v>
      </c>
      <c r="N25" s="234" t="s">
        <v>105</v>
      </c>
    </row>
    <row r="26" spans="1:20" x14ac:dyDescent="0.2">
      <c r="A26" s="189" t="s">
        <v>150</v>
      </c>
      <c r="B26" s="187"/>
      <c r="C26" s="188"/>
      <c r="D26" s="187"/>
      <c r="E26" s="186"/>
      <c r="F26" s="185"/>
      <c r="G26" s="184"/>
      <c r="H26" s="184"/>
      <c r="I26" s="184"/>
      <c r="J26" s="183">
        <f>SUM(J5:J24)</f>
        <v>1076.7</v>
      </c>
      <c r="K26" s="183">
        <f>SUM(K5:K24)</f>
        <v>53.835000000000001</v>
      </c>
      <c r="L26" s="183">
        <f>SUM(L5:L24)</f>
        <v>107.67</v>
      </c>
      <c r="M26" s="182">
        <f>SUM(M5:M25)</f>
        <v>96947.346080000003</v>
      </c>
      <c r="N26" s="181"/>
      <c r="O26" s="169"/>
      <c r="Q26" s="169"/>
      <c r="R26" s="169"/>
      <c r="S26" s="169"/>
      <c r="T26" s="169"/>
    </row>
    <row r="27" spans="1:20" ht="13.5" thickBot="1" x14ac:dyDescent="0.25">
      <c r="A27" s="180" t="s">
        <v>149</v>
      </c>
      <c r="B27" s="179"/>
      <c r="C27" s="179"/>
      <c r="D27" s="179"/>
      <c r="E27" s="179"/>
      <c r="F27" s="179"/>
      <c r="G27" s="178"/>
      <c r="H27" s="178"/>
      <c r="I27" s="178"/>
      <c r="J27" s="177"/>
      <c r="K27" s="176"/>
      <c r="L27" s="175">
        <f>(SUM(J5:J24))+(SUM(K5:K24))+(SUM(L5:L24))</f>
        <v>1238.2050000000002</v>
      </c>
      <c r="M27" s="174"/>
      <c r="N27" s="173"/>
      <c r="O27" s="169"/>
      <c r="P27" s="169"/>
      <c r="Q27" s="169"/>
      <c r="R27" s="169"/>
      <c r="S27" s="169"/>
      <c r="T27" s="169"/>
    </row>
    <row r="28" spans="1:20" ht="6.75" customHeight="1" x14ac:dyDescent="0.2">
      <c r="G28" s="164"/>
      <c r="H28" s="164"/>
      <c r="I28" s="164"/>
      <c r="O28" s="169"/>
      <c r="P28" s="169"/>
      <c r="Q28" s="169"/>
      <c r="R28" s="169"/>
      <c r="S28" s="169"/>
      <c r="T28" s="169"/>
    </row>
    <row r="29" spans="1:20" s="169" customFormat="1" ht="11.25" x14ac:dyDescent="0.2">
      <c r="A29" s="169" t="s">
        <v>1204</v>
      </c>
      <c r="J29" s="172"/>
      <c r="K29" s="172"/>
      <c r="L29" s="172"/>
      <c r="M29" s="171"/>
      <c r="N29" s="170"/>
    </row>
    <row r="30" spans="1:20" s="169" customFormat="1" x14ac:dyDescent="0.2">
      <c r="A30" s="498" t="s">
        <v>849</v>
      </c>
      <c r="B30" s="498"/>
      <c r="C30" s="498"/>
      <c r="D30" s="498"/>
      <c r="E30" s="498"/>
      <c r="F30" s="498"/>
      <c r="G30" s="498"/>
      <c r="H30" s="498"/>
      <c r="I30" s="498"/>
      <c r="J30" s="498"/>
      <c r="K30" s="498"/>
      <c r="L30" s="498"/>
      <c r="M30" s="498"/>
      <c r="N30" s="498"/>
      <c r="P30" s="164"/>
      <c r="Q30" s="164"/>
      <c r="R30" s="164"/>
    </row>
    <row r="31" spans="1:20" s="169" customFormat="1" ht="25.5" customHeight="1" x14ac:dyDescent="0.2">
      <c r="A31" s="502" t="s">
        <v>1213</v>
      </c>
      <c r="B31" s="502"/>
      <c r="C31" s="502"/>
      <c r="D31" s="502"/>
      <c r="E31" s="502"/>
      <c r="F31" s="502"/>
      <c r="G31" s="502"/>
      <c r="H31" s="502"/>
      <c r="I31" s="502"/>
      <c r="J31" s="502"/>
      <c r="K31" s="502"/>
      <c r="L31" s="502"/>
      <c r="M31" s="502"/>
      <c r="N31" s="502"/>
      <c r="P31" s="164"/>
      <c r="Q31" s="164"/>
      <c r="R31" s="164"/>
      <c r="S31" s="164"/>
      <c r="T31" s="164"/>
    </row>
    <row r="32" spans="1:20" s="169" customFormat="1" ht="11.25" x14ac:dyDescent="0.2">
      <c r="A32" s="498" t="s">
        <v>1206</v>
      </c>
      <c r="B32" s="498"/>
      <c r="C32" s="498"/>
      <c r="D32" s="498"/>
      <c r="E32" s="498"/>
      <c r="F32" s="498"/>
      <c r="G32" s="498"/>
      <c r="H32" s="498"/>
      <c r="I32" s="498"/>
      <c r="J32" s="498"/>
      <c r="K32" s="498"/>
      <c r="L32" s="498"/>
      <c r="M32" s="498"/>
      <c r="N32" s="498"/>
      <c r="O32" s="337"/>
    </row>
    <row r="33" spans="1:15" x14ac:dyDescent="0.2">
      <c r="A33" s="498" t="s">
        <v>1207</v>
      </c>
      <c r="B33" s="498"/>
      <c r="C33" s="498"/>
      <c r="D33" s="498"/>
      <c r="E33" s="498"/>
      <c r="F33" s="498"/>
      <c r="G33" s="498"/>
      <c r="H33" s="498"/>
      <c r="I33" s="498"/>
      <c r="J33" s="498"/>
      <c r="K33" s="498"/>
      <c r="L33" s="498"/>
      <c r="M33" s="498"/>
      <c r="N33" s="498"/>
      <c r="O33" s="337"/>
    </row>
    <row r="34" spans="1:15" s="169" customFormat="1" ht="12.75" customHeight="1" x14ac:dyDescent="0.2">
      <c r="A34" s="169" t="s">
        <v>1194</v>
      </c>
    </row>
    <row r="35" spans="1:15" s="169" customFormat="1" ht="12.75" customHeight="1" x14ac:dyDescent="0.2">
      <c r="A35" s="169" t="s">
        <v>1195</v>
      </c>
    </row>
    <row r="36" spans="1:15" s="169" customFormat="1" ht="22.5" customHeight="1" x14ac:dyDescent="0.2">
      <c r="A36" s="498" t="s">
        <v>1231</v>
      </c>
      <c r="B36" s="498"/>
      <c r="C36" s="498"/>
      <c r="D36" s="498"/>
      <c r="E36" s="498"/>
      <c r="F36" s="498"/>
      <c r="G36" s="498"/>
      <c r="H36" s="498"/>
      <c r="I36" s="498"/>
      <c r="J36" s="498"/>
      <c r="K36" s="498"/>
      <c r="L36" s="498"/>
      <c r="M36" s="498"/>
      <c r="N36" s="498"/>
      <c r="O36" s="337"/>
    </row>
    <row r="37" spans="1:15" s="169" customFormat="1" ht="11.25" customHeight="1" x14ac:dyDescent="0.2">
      <c r="A37" s="169" t="s">
        <v>1196</v>
      </c>
      <c r="J37" s="172"/>
      <c r="K37" s="172"/>
      <c r="L37" s="172"/>
      <c r="M37" s="171"/>
      <c r="N37" s="170"/>
      <c r="O37" s="164"/>
    </row>
    <row r="38" spans="1:15" x14ac:dyDescent="0.2">
      <c r="A38" s="169" t="s">
        <v>1197</v>
      </c>
      <c r="B38" s="336"/>
      <c r="C38" s="336"/>
      <c r="D38" s="336"/>
      <c r="E38" s="336"/>
      <c r="F38" s="336"/>
      <c r="G38" s="336"/>
      <c r="H38" s="336"/>
      <c r="I38" s="336"/>
      <c r="J38" s="343"/>
      <c r="K38" s="343"/>
      <c r="L38" s="343"/>
      <c r="M38" s="344"/>
      <c r="N38" s="345"/>
    </row>
    <row r="39" spans="1:15" x14ac:dyDescent="0.2">
      <c r="A39" s="169" t="s">
        <v>1198</v>
      </c>
      <c r="B39" s="336"/>
      <c r="C39" s="336"/>
      <c r="D39" s="336"/>
      <c r="E39" s="336"/>
      <c r="F39" s="336"/>
      <c r="G39" s="336"/>
      <c r="H39" s="336"/>
      <c r="I39" s="336"/>
      <c r="J39" s="343"/>
      <c r="K39" s="343"/>
      <c r="L39" s="343"/>
      <c r="M39" s="344"/>
      <c r="N39" s="345"/>
    </row>
    <row r="40" spans="1:15" ht="39" customHeight="1" x14ac:dyDescent="0.2">
      <c r="A40" s="498" t="s">
        <v>1199</v>
      </c>
      <c r="B40" s="498"/>
      <c r="C40" s="498"/>
      <c r="D40" s="498"/>
      <c r="E40" s="498"/>
      <c r="F40" s="498"/>
      <c r="G40" s="498"/>
      <c r="H40" s="498"/>
      <c r="I40" s="498"/>
      <c r="J40" s="498"/>
      <c r="K40" s="498"/>
      <c r="L40" s="498"/>
      <c r="M40" s="498"/>
      <c r="N40" s="498"/>
    </row>
    <row r="41" spans="1:15" ht="23.25" customHeight="1" x14ac:dyDescent="0.2">
      <c r="A41" s="498" t="s">
        <v>1203</v>
      </c>
      <c r="B41" s="498"/>
      <c r="C41" s="498"/>
      <c r="D41" s="498"/>
      <c r="E41" s="498"/>
      <c r="F41" s="498"/>
      <c r="G41" s="498"/>
      <c r="H41" s="498"/>
      <c r="I41" s="498"/>
      <c r="J41" s="498"/>
      <c r="K41" s="498"/>
      <c r="L41" s="498"/>
      <c r="M41" s="498"/>
      <c r="N41" s="498"/>
    </row>
    <row r="43" spans="1:15" x14ac:dyDescent="0.2">
      <c r="A43" s="168"/>
    </row>
    <row r="45" spans="1:15" x14ac:dyDescent="0.2">
      <c r="A45" s="168"/>
    </row>
    <row r="46" spans="1:15" x14ac:dyDescent="0.2">
      <c r="A46" s="168"/>
    </row>
    <row r="48" spans="1:15" x14ac:dyDescent="0.2">
      <c r="J48" s="166"/>
    </row>
    <row r="50" spans="7:10" x14ac:dyDescent="0.2">
      <c r="G50" s="221"/>
      <c r="H50" s="221"/>
      <c r="J50" s="166"/>
    </row>
    <row r="51" spans="7:10" x14ac:dyDescent="0.2">
      <c r="G51" s="222"/>
      <c r="H51" s="222"/>
    </row>
    <row r="52" spans="7:10" x14ac:dyDescent="0.2">
      <c r="G52" s="223"/>
      <c r="H52" s="222"/>
    </row>
    <row r="53" spans="7:10" x14ac:dyDescent="0.2">
      <c r="G53" s="222"/>
      <c r="H53" s="222"/>
    </row>
  </sheetData>
  <mergeCells count="12">
    <mergeCell ref="A33:N33"/>
    <mergeCell ref="A36:N36"/>
    <mergeCell ref="A41:N41"/>
    <mergeCell ref="A31:N31"/>
    <mergeCell ref="A32:N32"/>
    <mergeCell ref="A40:N40"/>
    <mergeCell ref="A30:N30"/>
    <mergeCell ref="A1:N1"/>
    <mergeCell ref="A2:N2"/>
    <mergeCell ref="B6:F6"/>
    <mergeCell ref="C15:F15"/>
    <mergeCell ref="G25:J25"/>
  </mergeCells>
  <pageMargins left="0.25" right="0.25" top="0.5" bottom="0.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4" workbookViewId="0">
      <selection activeCell="E15" sqref="E15"/>
    </sheetView>
  </sheetViews>
  <sheetFormatPr defaultRowHeight="15" x14ac:dyDescent="0.25"/>
  <cols>
    <col min="1" max="1" width="17.42578125" customWidth="1"/>
  </cols>
  <sheetData>
    <row r="1" spans="1:10" ht="15.75" thickTop="1" x14ac:dyDescent="0.25">
      <c r="A1" s="432" t="s">
        <v>1277</v>
      </c>
      <c r="B1" s="435" t="s">
        <v>1279</v>
      </c>
      <c r="C1" s="435" t="s">
        <v>1281</v>
      </c>
      <c r="D1" s="435" t="s">
        <v>1283</v>
      </c>
      <c r="E1" s="435" t="s">
        <v>1285</v>
      </c>
      <c r="F1" s="435" t="s">
        <v>1287</v>
      </c>
      <c r="G1" s="435" t="s">
        <v>1289</v>
      </c>
      <c r="H1" s="438" t="s">
        <v>1291</v>
      </c>
    </row>
    <row r="2" spans="1:10" ht="89.25" x14ac:dyDescent="0.25">
      <c r="A2" s="433" t="s">
        <v>1278</v>
      </c>
      <c r="B2" s="436" t="s">
        <v>1280</v>
      </c>
      <c r="C2" s="436" t="s">
        <v>1282</v>
      </c>
      <c r="D2" s="436" t="s">
        <v>1284</v>
      </c>
      <c r="E2" s="436" t="s">
        <v>1286</v>
      </c>
      <c r="F2" s="436" t="s">
        <v>1288</v>
      </c>
      <c r="G2" s="436" t="s">
        <v>1290</v>
      </c>
      <c r="H2" s="439" t="s">
        <v>1292</v>
      </c>
    </row>
    <row r="3" spans="1:10" ht="15.75" thickBot="1" x14ac:dyDescent="0.3">
      <c r="A3" s="434"/>
      <c r="B3" s="437"/>
      <c r="C3" s="437"/>
      <c r="D3" s="437"/>
      <c r="E3" s="437"/>
      <c r="F3" s="437"/>
      <c r="G3" s="437"/>
      <c r="H3" s="440" t="s">
        <v>1293</v>
      </c>
    </row>
    <row r="4" spans="1:10" ht="90" thickBot="1" x14ac:dyDescent="0.3">
      <c r="A4" s="441" t="s">
        <v>1294</v>
      </c>
      <c r="B4" s="443">
        <v>10067</v>
      </c>
      <c r="C4" s="443">
        <v>1105</v>
      </c>
      <c r="D4" s="444">
        <v>107.3</v>
      </c>
      <c r="E4" s="443">
        <f>D4*C4</f>
        <v>118566.5</v>
      </c>
      <c r="F4" s="443">
        <v>0</v>
      </c>
      <c r="G4" s="444">
        <v>0</v>
      </c>
      <c r="H4" s="445">
        <f t="shared" ref="H4:H6" si="0">F4*G4</f>
        <v>0</v>
      </c>
    </row>
    <row r="5" spans="1:10" ht="73.5" customHeight="1" thickBot="1" x14ac:dyDescent="0.3">
      <c r="A5" s="450" t="s">
        <v>1295</v>
      </c>
      <c r="B5" s="451">
        <v>10067</v>
      </c>
      <c r="C5" s="451">
        <v>2455</v>
      </c>
      <c r="D5" s="460">
        <v>17</v>
      </c>
      <c r="E5" s="443">
        <f>D5*C5</f>
        <v>41735</v>
      </c>
      <c r="F5" s="451">
        <v>0</v>
      </c>
      <c r="G5" s="452">
        <v>0</v>
      </c>
      <c r="H5" s="445">
        <f t="shared" si="0"/>
        <v>0</v>
      </c>
    </row>
    <row r="6" spans="1:10" ht="51.75" thickBot="1" x14ac:dyDescent="0.3">
      <c r="A6" s="441" t="s">
        <v>1296</v>
      </c>
      <c r="B6" s="444">
        <v>0</v>
      </c>
      <c r="C6" s="444">
        <v>0</v>
      </c>
      <c r="D6" s="444">
        <v>0</v>
      </c>
      <c r="E6" s="443">
        <f t="shared" ref="E6:E10" si="1">D6*C6</f>
        <v>0</v>
      </c>
      <c r="F6" s="443">
        <v>1814</v>
      </c>
      <c r="G6" s="457">
        <v>107.3</v>
      </c>
      <c r="H6" s="445">
        <f t="shared" si="0"/>
        <v>194642.19999999998</v>
      </c>
    </row>
    <row r="7" spans="1:10" ht="39" thickBot="1" x14ac:dyDescent="0.3">
      <c r="A7" s="441" t="s">
        <v>1297</v>
      </c>
      <c r="B7" s="444">
        <v>0</v>
      </c>
      <c r="C7" s="444">
        <v>0</v>
      </c>
      <c r="D7" s="444">
        <v>0</v>
      </c>
      <c r="E7" s="443">
        <f t="shared" si="1"/>
        <v>0</v>
      </c>
      <c r="F7" s="446">
        <v>204</v>
      </c>
      <c r="G7" s="459">
        <v>107.3</v>
      </c>
      <c r="H7" s="447">
        <f>F7*G7</f>
        <v>21889.200000000001</v>
      </c>
    </row>
    <row r="8" spans="1:10" ht="15.75" thickBot="1" x14ac:dyDescent="0.3">
      <c r="A8" s="448" t="s">
        <v>1298</v>
      </c>
      <c r="B8" s="449">
        <v>3000</v>
      </c>
      <c r="C8" s="453">
        <v>330</v>
      </c>
      <c r="D8" s="454">
        <v>107.3</v>
      </c>
      <c r="E8" s="458">
        <f t="shared" si="1"/>
        <v>35409</v>
      </c>
      <c r="F8" s="475">
        <v>1000</v>
      </c>
      <c r="G8" s="476">
        <v>107.3</v>
      </c>
      <c r="H8" s="475">
        <f>G8*F8</f>
        <v>107300</v>
      </c>
    </row>
    <row r="9" spans="1:10" ht="16.5" thickTop="1" thickBot="1" x14ac:dyDescent="0.3">
      <c r="A9" s="455" t="s">
        <v>1247</v>
      </c>
      <c r="B9" s="456">
        <v>500</v>
      </c>
      <c r="C9" s="456">
        <v>55</v>
      </c>
      <c r="D9" s="454">
        <v>107.3</v>
      </c>
      <c r="E9" s="458">
        <f t="shared" si="1"/>
        <v>5901.5</v>
      </c>
      <c r="F9" s="475"/>
      <c r="G9" s="476"/>
      <c r="H9" s="475"/>
    </row>
    <row r="10" spans="1:10" ht="15.75" thickBot="1" x14ac:dyDescent="0.3">
      <c r="A10" s="448" t="s">
        <v>1248</v>
      </c>
      <c r="B10" s="449">
        <v>4500</v>
      </c>
      <c r="C10" s="449">
        <v>494</v>
      </c>
      <c r="D10" s="454">
        <v>107.3</v>
      </c>
      <c r="E10" s="458">
        <f t="shared" si="1"/>
        <v>53006.2</v>
      </c>
      <c r="F10" s="475"/>
      <c r="G10" s="476"/>
      <c r="H10" s="475"/>
    </row>
    <row r="11" spans="1:10" ht="15.75" thickTop="1" x14ac:dyDescent="0.25"/>
    <row r="12" spans="1:10" x14ac:dyDescent="0.25">
      <c r="E12" s="442">
        <f>SUM(E4:E10)</f>
        <v>254618.2</v>
      </c>
      <c r="H12" s="442">
        <f>SUM(H4:H10)</f>
        <v>323831.40000000002</v>
      </c>
      <c r="J12" s="442">
        <f>SUM(E12:H12)</f>
        <v>578449.60000000009</v>
      </c>
    </row>
    <row r="15" spans="1:10" x14ac:dyDescent="0.25">
      <c r="E15">
        <f>254600+323800</f>
        <v>578400</v>
      </c>
    </row>
  </sheetData>
  <mergeCells count="3">
    <mergeCell ref="F8:F10"/>
    <mergeCell ref="G8:G10"/>
    <mergeCell ref="H8:H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145" zoomScaleNormal="145" workbookViewId="0">
      <selection activeCell="A3" sqref="A3"/>
    </sheetView>
  </sheetViews>
  <sheetFormatPr defaultRowHeight="12.75" x14ac:dyDescent="0.2"/>
  <cols>
    <col min="1" max="1" width="2.28515625" style="164" customWidth="1"/>
    <col min="2" max="2" width="2.42578125" style="164" customWidth="1"/>
    <col min="3" max="3" width="2.140625" style="164" customWidth="1"/>
    <col min="4" max="4" width="1.42578125" style="164" customWidth="1"/>
    <col min="5" max="5" width="2.42578125" style="164" customWidth="1"/>
    <col min="6" max="6" width="44.7109375" style="164" customWidth="1"/>
    <col min="7" max="7" width="12" style="167" customWidth="1"/>
    <col min="8" max="8" width="13" style="167" customWidth="1"/>
    <col min="9" max="9" width="14.28515625" style="167" customWidth="1"/>
    <col min="10" max="10" width="10.5703125" style="167" customWidth="1"/>
    <col min="11" max="11" width="12.7109375" style="167" customWidth="1"/>
    <col min="12" max="12" width="14" style="167" customWidth="1"/>
    <col min="13" max="13" width="13" style="166" customWidth="1"/>
    <col min="14" max="14" width="6.7109375" style="165" customWidth="1"/>
    <col min="15" max="15" width="15.28515625" style="164" customWidth="1"/>
    <col min="16" max="16384" width="9.140625" style="164"/>
  </cols>
  <sheetData>
    <row r="1" spans="1:15" x14ac:dyDescent="0.2">
      <c r="A1" s="503" t="s">
        <v>1245</v>
      </c>
      <c r="B1" s="503"/>
      <c r="C1" s="503"/>
      <c r="D1" s="503"/>
      <c r="E1" s="503"/>
      <c r="F1" s="503"/>
      <c r="G1" s="503"/>
      <c r="H1" s="503"/>
      <c r="I1" s="503"/>
      <c r="J1" s="503"/>
      <c r="K1" s="503"/>
      <c r="L1" s="503"/>
      <c r="M1" s="503"/>
      <c r="N1" s="503"/>
    </row>
    <row r="2" spans="1:15" ht="12" customHeight="1" x14ac:dyDescent="0.2">
      <c r="A2" s="503" t="s">
        <v>1177</v>
      </c>
      <c r="B2" s="503"/>
      <c r="C2" s="503"/>
      <c r="D2" s="503"/>
      <c r="E2" s="503"/>
      <c r="F2" s="503"/>
      <c r="G2" s="503"/>
      <c r="H2" s="503"/>
      <c r="I2" s="503"/>
      <c r="J2" s="503"/>
      <c r="K2" s="503"/>
      <c r="L2" s="503"/>
      <c r="M2" s="503"/>
      <c r="N2" s="503"/>
    </row>
    <row r="3" spans="1:15" ht="15" customHeight="1" thickBot="1" x14ac:dyDescent="0.25"/>
    <row r="4" spans="1:15" s="215" customFormat="1" ht="68.25" customHeight="1" x14ac:dyDescent="0.2">
      <c r="A4" s="220" t="s">
        <v>88</v>
      </c>
      <c r="B4" s="219"/>
      <c r="C4" s="219"/>
      <c r="D4" s="219"/>
      <c r="E4" s="219"/>
      <c r="F4" s="219"/>
      <c r="G4" s="218" t="s">
        <v>176</v>
      </c>
      <c r="H4" s="218" t="s">
        <v>175</v>
      </c>
      <c r="I4" s="218" t="s">
        <v>174</v>
      </c>
      <c r="J4" s="218" t="s">
        <v>173</v>
      </c>
      <c r="K4" s="218" t="s">
        <v>847</v>
      </c>
      <c r="L4" s="218" t="s">
        <v>172</v>
      </c>
      <c r="M4" s="217" t="s">
        <v>850</v>
      </c>
      <c r="N4" s="216" t="s">
        <v>87</v>
      </c>
      <c r="O4" s="339"/>
    </row>
    <row r="5" spans="1:15" x14ac:dyDescent="0.2">
      <c r="A5" s="214" t="s">
        <v>171</v>
      </c>
      <c r="B5" s="213" t="s">
        <v>170</v>
      </c>
      <c r="C5" s="213"/>
      <c r="D5" s="213"/>
      <c r="E5" s="213"/>
      <c r="F5" s="212"/>
      <c r="G5" s="211">
        <v>40</v>
      </c>
      <c r="H5" s="211">
        <v>0</v>
      </c>
      <c r="I5" s="210">
        <f>G5*H5</f>
        <v>0</v>
      </c>
      <c r="J5" s="210">
        <f>I5</f>
        <v>0</v>
      </c>
      <c r="K5" s="210">
        <f>J5*0.05</f>
        <v>0</v>
      </c>
      <c r="L5" s="210">
        <f>J5*0.1</f>
        <v>0</v>
      </c>
      <c r="M5" s="209">
        <f>(J5*'Agency Base Data'!$D$6)+(K5*'Agency Base Data'!$D$4)+(L5*'Agency Base Data'!$D$5)</f>
        <v>0</v>
      </c>
      <c r="N5" s="342" t="s">
        <v>75</v>
      </c>
      <c r="O5" s="336"/>
    </row>
    <row r="6" spans="1:15" ht="27" customHeight="1" x14ac:dyDescent="0.2">
      <c r="A6" s="203" t="s">
        <v>169</v>
      </c>
      <c r="B6" s="504" t="s">
        <v>168</v>
      </c>
      <c r="C6" s="504"/>
      <c r="D6" s="504"/>
      <c r="E6" s="504"/>
      <c r="F6" s="504"/>
      <c r="G6" s="199">
        <v>2</v>
      </c>
      <c r="H6" s="198">
        <f>'Respondent Yr3'!I35</f>
        <v>117</v>
      </c>
      <c r="I6" s="198">
        <f>G6*H6</f>
        <v>234</v>
      </c>
      <c r="J6" s="198">
        <f>I6</f>
        <v>234</v>
      </c>
      <c r="K6" s="198">
        <f>J6*0.05</f>
        <v>11.700000000000001</v>
      </c>
      <c r="L6" s="198">
        <f>J6*0.1</f>
        <v>23.400000000000002</v>
      </c>
      <c r="M6" s="197">
        <f>(J6*'Agency Base Data'!$D$6)+(K6*'Agency Base Data'!$D$4)+(L6*'Agency Base Data'!$D$5)</f>
        <v>12369.801599999999</v>
      </c>
      <c r="N6" s="196" t="s">
        <v>97</v>
      </c>
    </row>
    <row r="7" spans="1:15" ht="15" customHeight="1" x14ac:dyDescent="0.2">
      <c r="A7" s="203" t="s">
        <v>167</v>
      </c>
      <c r="B7" s="202" t="s">
        <v>166</v>
      </c>
      <c r="C7" s="207"/>
      <c r="D7" s="205"/>
      <c r="E7" s="205"/>
      <c r="F7" s="204"/>
      <c r="G7" s="199"/>
      <c r="H7" s="199"/>
      <c r="I7" s="198"/>
      <c r="J7" s="198"/>
      <c r="K7" s="198"/>
      <c r="L7" s="198"/>
      <c r="M7" s="197"/>
      <c r="N7" s="196"/>
    </row>
    <row r="8" spans="1:15" ht="15" customHeight="1" x14ac:dyDescent="0.2">
      <c r="A8" s="203"/>
      <c r="B8" s="202" t="s">
        <v>156</v>
      </c>
      <c r="C8" s="202" t="s">
        <v>177</v>
      </c>
      <c r="D8" s="205"/>
      <c r="E8" s="201"/>
      <c r="F8" s="204"/>
      <c r="G8" s="199">
        <v>12</v>
      </c>
      <c r="H8" s="198">
        <f>'Respondent Yr3'!I9*0.2</f>
        <v>2.6</v>
      </c>
      <c r="I8" s="198">
        <f>G8*H8</f>
        <v>31.200000000000003</v>
      </c>
      <c r="J8" s="198">
        <f t="shared" ref="J8:J13" si="0">I8</f>
        <v>31.200000000000003</v>
      </c>
      <c r="K8" s="198">
        <f t="shared" ref="K8:K13" si="1">J8*0.05</f>
        <v>1.5600000000000003</v>
      </c>
      <c r="L8" s="198">
        <f t="shared" ref="L8:L13" si="2">J8*0.1</f>
        <v>3.1200000000000006</v>
      </c>
      <c r="M8" s="197">
        <f>(J8*'Agency Base Data'!$D$6)+(K8*'Agency Base Data'!$D$4)+(L8*'Agency Base Data'!$D$5)</f>
        <v>1649.3068800000001</v>
      </c>
      <c r="N8" s="208" t="s">
        <v>1193</v>
      </c>
      <c r="O8" s="336"/>
    </row>
    <row r="9" spans="1:15" ht="15" customHeight="1" x14ac:dyDescent="0.2">
      <c r="A9" s="203"/>
      <c r="B9" s="202" t="s">
        <v>155</v>
      </c>
      <c r="C9" s="202" t="s">
        <v>178</v>
      </c>
      <c r="D9" s="205"/>
      <c r="E9" s="201"/>
      <c r="F9" s="204"/>
      <c r="G9" s="199">
        <v>20</v>
      </c>
      <c r="H9" s="198">
        <f>'Respondent Yr3'!I10*0.2</f>
        <v>23.400000000000002</v>
      </c>
      <c r="I9" s="198">
        <f>G9*H9</f>
        <v>468.00000000000006</v>
      </c>
      <c r="J9" s="198">
        <f t="shared" si="0"/>
        <v>468.00000000000006</v>
      </c>
      <c r="K9" s="198">
        <f t="shared" si="1"/>
        <v>23.400000000000006</v>
      </c>
      <c r="L9" s="198">
        <f t="shared" si="2"/>
        <v>46.800000000000011</v>
      </c>
      <c r="M9" s="197">
        <f>(J9*'Agency Base Data'!$D$6)+(K9*'Agency Base Data'!$D$4)+(L9*'Agency Base Data'!$D$5)+H9*('Other Cost Basis'!B9+'Other Cost Basis'!B13+'Other Cost Basis'!B14)</f>
        <v>42617.203200000004</v>
      </c>
      <c r="N9" s="208" t="s">
        <v>65</v>
      </c>
    </row>
    <row r="10" spans="1:15" ht="15" customHeight="1" x14ac:dyDescent="0.2">
      <c r="A10" s="203"/>
      <c r="B10" s="202" t="s">
        <v>154</v>
      </c>
      <c r="C10" s="202" t="s">
        <v>164</v>
      </c>
      <c r="D10" s="205"/>
      <c r="E10" s="201"/>
      <c r="F10" s="204"/>
      <c r="G10" s="199">
        <v>1</v>
      </c>
      <c r="H10" s="198">
        <f>H21</f>
        <v>13</v>
      </c>
      <c r="I10" s="198">
        <f>G10*H10</f>
        <v>13</v>
      </c>
      <c r="J10" s="198">
        <f t="shared" si="0"/>
        <v>13</v>
      </c>
      <c r="K10" s="198">
        <f t="shared" si="1"/>
        <v>0.65</v>
      </c>
      <c r="L10" s="198">
        <f t="shared" si="2"/>
        <v>1.3</v>
      </c>
      <c r="M10" s="197">
        <f>(J10*'Agency Base Data'!$D$6)+(K10*'Agency Base Data'!$D$4)+(L10*'Agency Base Data'!$D$5)</f>
        <v>687.21119999999996</v>
      </c>
      <c r="N10" s="208" t="s">
        <v>98</v>
      </c>
      <c r="O10" s="336"/>
    </row>
    <row r="11" spans="1:15" ht="15" customHeight="1" x14ac:dyDescent="0.2">
      <c r="A11" s="203"/>
      <c r="B11" s="202" t="s">
        <v>153</v>
      </c>
      <c r="C11" s="202" t="s">
        <v>162</v>
      </c>
      <c r="D11" s="205"/>
      <c r="E11" s="201"/>
      <c r="F11" s="204"/>
      <c r="G11" s="199">
        <v>1</v>
      </c>
      <c r="H11" s="198">
        <f>'Respondent Yr3'!I25</f>
        <v>117</v>
      </c>
      <c r="I11" s="198">
        <f>G11*H11</f>
        <v>117</v>
      </c>
      <c r="J11" s="198">
        <f t="shared" si="0"/>
        <v>117</v>
      </c>
      <c r="K11" s="198">
        <f t="shared" si="1"/>
        <v>5.8500000000000005</v>
      </c>
      <c r="L11" s="198">
        <f t="shared" si="2"/>
        <v>11.700000000000001</v>
      </c>
      <c r="M11" s="197">
        <f>(J11*'Agency Base Data'!$D$6)+(K11*'Agency Base Data'!$D$4)+(L11*'Agency Base Data'!$D$5)</f>
        <v>6184.9007999999994</v>
      </c>
      <c r="N11" s="208" t="s">
        <v>67</v>
      </c>
    </row>
    <row r="12" spans="1:15" ht="15" customHeight="1" x14ac:dyDescent="0.2">
      <c r="A12" s="203"/>
      <c r="B12" s="202" t="s">
        <v>165</v>
      </c>
      <c r="C12" s="202" t="s">
        <v>848</v>
      </c>
      <c r="D12" s="205"/>
      <c r="E12" s="201"/>
      <c r="F12" s="204"/>
      <c r="G12" s="199">
        <v>2</v>
      </c>
      <c r="H12" s="198">
        <f>'Respondent Yr3'!I9</f>
        <v>13</v>
      </c>
      <c r="I12" s="198">
        <f>G12*H12</f>
        <v>26</v>
      </c>
      <c r="J12" s="198">
        <f t="shared" si="0"/>
        <v>26</v>
      </c>
      <c r="K12" s="198">
        <f t="shared" si="1"/>
        <v>1.3</v>
      </c>
      <c r="L12" s="198">
        <f t="shared" si="2"/>
        <v>2.6</v>
      </c>
      <c r="M12" s="197">
        <f>(J12*'Agency Base Data'!$D$6)+(K12*'Agency Base Data'!$D$4)+(L12*'Agency Base Data'!$D$5)</f>
        <v>1374.4223999999999</v>
      </c>
      <c r="N12" s="208" t="s">
        <v>98</v>
      </c>
      <c r="O12" s="336"/>
    </row>
    <row r="13" spans="1:15" ht="15" customHeight="1" x14ac:dyDescent="0.2">
      <c r="A13" s="203" t="s">
        <v>161</v>
      </c>
      <c r="B13" s="202" t="s">
        <v>181</v>
      </c>
      <c r="C13" s="202"/>
      <c r="D13" s="205"/>
      <c r="E13" s="201"/>
      <c r="F13" s="204"/>
      <c r="G13" s="199">
        <v>24</v>
      </c>
      <c r="H13" s="198">
        <f>H12*0.1</f>
        <v>1.3</v>
      </c>
      <c r="I13" s="198">
        <v>0</v>
      </c>
      <c r="J13" s="198">
        <f t="shared" si="0"/>
        <v>0</v>
      </c>
      <c r="K13" s="198">
        <f t="shared" si="1"/>
        <v>0</v>
      </c>
      <c r="L13" s="198">
        <f t="shared" si="2"/>
        <v>0</v>
      </c>
      <c r="M13" s="197">
        <f>(J13*'Agency Base Data'!$D$6)+(K13*'Agency Base Data'!$D$4)+(L13*'Agency Base Data'!$D$5)</f>
        <v>0</v>
      </c>
      <c r="N13" s="208" t="s">
        <v>99</v>
      </c>
    </row>
    <row r="14" spans="1:15" ht="15.75" customHeight="1" x14ac:dyDescent="0.2">
      <c r="A14" s="203" t="s">
        <v>160</v>
      </c>
      <c r="B14" s="202" t="s">
        <v>159</v>
      </c>
      <c r="C14" s="207"/>
      <c r="D14" s="206"/>
      <c r="E14" s="201"/>
      <c r="F14" s="204"/>
      <c r="G14" s="199"/>
      <c r="H14" s="198"/>
      <c r="I14" s="198"/>
      <c r="J14" s="198"/>
      <c r="K14" s="198"/>
      <c r="L14" s="198"/>
      <c r="M14" s="197"/>
      <c r="N14" s="196"/>
    </row>
    <row r="15" spans="1:15" x14ac:dyDescent="0.2">
      <c r="A15" s="203"/>
      <c r="B15" s="202" t="s">
        <v>156</v>
      </c>
      <c r="C15" s="504" t="s">
        <v>1154</v>
      </c>
      <c r="D15" s="504"/>
      <c r="E15" s="504"/>
      <c r="F15" s="504"/>
      <c r="G15" s="199">
        <v>2</v>
      </c>
      <c r="H15" s="198">
        <f>'Respondent Yr3'!I16</f>
        <v>0</v>
      </c>
      <c r="I15" s="198">
        <f t="shared" ref="I15:I24" si="3">G15*H15</f>
        <v>0</v>
      </c>
      <c r="J15" s="198">
        <f t="shared" ref="J15:J24" si="4">I15</f>
        <v>0</v>
      </c>
      <c r="K15" s="198">
        <f t="shared" ref="K15:K24" si="5">J15*0.05</f>
        <v>0</v>
      </c>
      <c r="L15" s="198">
        <f t="shared" ref="L15:L24" si="6">J15*0.1</f>
        <v>0</v>
      </c>
      <c r="M15" s="197">
        <f>(J15*'Agency Base Data'!$D$6)+(K15*'Agency Base Data'!$D$4)+(L15*'Agency Base Data'!$D$5)</f>
        <v>0</v>
      </c>
      <c r="N15" s="208" t="s">
        <v>100</v>
      </c>
    </row>
    <row r="16" spans="1:15" ht="15" customHeight="1" x14ac:dyDescent="0.2">
      <c r="A16" s="203" t="s">
        <v>158</v>
      </c>
      <c r="B16" s="202" t="s">
        <v>157</v>
      </c>
      <c r="C16" s="202"/>
      <c r="D16" s="205"/>
      <c r="E16" s="201"/>
      <c r="F16" s="204"/>
      <c r="G16" s="199"/>
      <c r="H16" s="198"/>
      <c r="I16" s="198"/>
      <c r="J16" s="198"/>
      <c r="K16" s="198"/>
      <c r="L16" s="198"/>
      <c r="M16" s="197"/>
      <c r="N16" s="196"/>
    </row>
    <row r="17" spans="1:20" ht="15" customHeight="1" x14ac:dyDescent="0.2">
      <c r="A17" s="203"/>
      <c r="B17" s="202" t="s">
        <v>156</v>
      </c>
      <c r="C17" s="202" t="s">
        <v>179</v>
      </c>
      <c r="D17" s="202"/>
      <c r="E17" s="201"/>
      <c r="F17" s="204"/>
      <c r="G17" s="199">
        <v>1</v>
      </c>
      <c r="H17" s="198">
        <f>'Respondent Yr3'!I15</f>
        <v>0</v>
      </c>
      <c r="I17" s="198">
        <f t="shared" si="3"/>
        <v>0</v>
      </c>
      <c r="J17" s="198">
        <f t="shared" si="4"/>
        <v>0</v>
      </c>
      <c r="K17" s="198">
        <f t="shared" si="5"/>
        <v>0</v>
      </c>
      <c r="L17" s="198">
        <f t="shared" si="6"/>
        <v>0</v>
      </c>
      <c r="M17" s="197">
        <f>(J17*'Agency Base Data'!$D$6)+(K17*'Agency Base Data'!$D$4)+(L17*'Agency Base Data'!$D$5)</f>
        <v>0</v>
      </c>
      <c r="N17" s="208" t="s">
        <v>101</v>
      </c>
      <c r="O17" s="336"/>
    </row>
    <row r="18" spans="1:20" ht="15" customHeight="1" x14ac:dyDescent="0.2">
      <c r="A18" s="203"/>
      <c r="B18" s="202" t="s">
        <v>155</v>
      </c>
      <c r="C18" s="202" t="s">
        <v>182</v>
      </c>
      <c r="D18" s="202"/>
      <c r="E18" s="201"/>
      <c r="F18" s="204"/>
      <c r="G18" s="199">
        <v>2</v>
      </c>
      <c r="H18" s="198">
        <f>'Respondent Yr3'!I17+'Respondent Yr3'!I18</f>
        <v>11.5</v>
      </c>
      <c r="I18" s="198">
        <f t="shared" si="3"/>
        <v>23</v>
      </c>
      <c r="J18" s="198">
        <f t="shared" si="4"/>
        <v>23</v>
      </c>
      <c r="K18" s="198">
        <f t="shared" si="5"/>
        <v>1.1500000000000001</v>
      </c>
      <c r="L18" s="198">
        <f t="shared" si="6"/>
        <v>2.3000000000000003</v>
      </c>
      <c r="M18" s="197">
        <f>(J18*'Agency Base Data'!$D$6)+(K18*'Agency Base Data'!$D$4)+(L18*'Agency Base Data'!$D$5)</f>
        <v>1215.8352</v>
      </c>
      <c r="N18" s="208" t="s">
        <v>102</v>
      </c>
    </row>
    <row r="19" spans="1:20" ht="15" customHeight="1" x14ac:dyDescent="0.2">
      <c r="A19" s="203"/>
      <c r="B19" s="202" t="s">
        <v>154</v>
      </c>
      <c r="C19" s="202" t="s">
        <v>184</v>
      </c>
      <c r="D19" s="229"/>
      <c r="E19" s="229"/>
      <c r="F19" s="230"/>
      <c r="G19" s="199">
        <v>1</v>
      </c>
      <c r="H19" s="198">
        <v>0</v>
      </c>
      <c r="I19" s="198">
        <f t="shared" si="3"/>
        <v>0</v>
      </c>
      <c r="J19" s="198">
        <f t="shared" si="4"/>
        <v>0</v>
      </c>
      <c r="K19" s="198">
        <f t="shared" si="5"/>
        <v>0</v>
      </c>
      <c r="L19" s="198">
        <f t="shared" si="6"/>
        <v>0</v>
      </c>
      <c r="M19" s="197">
        <f>(J19*'Agency Base Data'!$D$6)+(K19*'Agency Base Data'!$D$4)+(L19*'Agency Base Data'!$D$5)</f>
        <v>0</v>
      </c>
      <c r="N19" s="208" t="s">
        <v>103</v>
      </c>
    </row>
    <row r="20" spans="1:20" ht="15" customHeight="1" x14ac:dyDescent="0.2">
      <c r="A20" s="203"/>
      <c r="B20" s="202" t="s">
        <v>153</v>
      </c>
      <c r="C20" s="228" t="s">
        <v>185</v>
      </c>
      <c r="G20" s="199">
        <v>1</v>
      </c>
      <c r="H20" s="198">
        <v>0</v>
      </c>
      <c r="I20" s="198">
        <f t="shared" si="3"/>
        <v>0</v>
      </c>
      <c r="J20" s="198">
        <f t="shared" si="4"/>
        <v>0</v>
      </c>
      <c r="K20" s="198">
        <f t="shared" si="5"/>
        <v>0</v>
      </c>
      <c r="L20" s="198">
        <f t="shared" si="6"/>
        <v>0</v>
      </c>
      <c r="M20" s="197">
        <f>(J20*'Agency Base Data'!$D$6)+(K20*'Agency Base Data'!$D$4)+(L20*'Agency Base Data'!$D$5)</f>
        <v>0</v>
      </c>
      <c r="N20" s="208" t="s">
        <v>103</v>
      </c>
    </row>
    <row r="21" spans="1:20" ht="15" customHeight="1" x14ac:dyDescent="0.2">
      <c r="A21" s="203"/>
      <c r="B21" s="202" t="s">
        <v>165</v>
      </c>
      <c r="C21" s="202" t="s">
        <v>180</v>
      </c>
      <c r="D21" s="202"/>
      <c r="E21" s="201"/>
      <c r="F21" s="204"/>
      <c r="G21" s="199">
        <v>15</v>
      </c>
      <c r="H21" s="198">
        <f>'Respondent Yr3'!I21</f>
        <v>13</v>
      </c>
      <c r="I21" s="198">
        <f t="shared" si="3"/>
        <v>195</v>
      </c>
      <c r="J21" s="198">
        <f t="shared" si="4"/>
        <v>195</v>
      </c>
      <c r="K21" s="198">
        <f t="shared" si="5"/>
        <v>9.75</v>
      </c>
      <c r="L21" s="198">
        <f t="shared" si="6"/>
        <v>19.5</v>
      </c>
      <c r="M21" s="197">
        <f>(J21*'Agency Base Data'!$D$6)+(K21*'Agency Base Data'!$D$4)+(L21*'Agency Base Data'!$D$5)</f>
        <v>10308.167999999998</v>
      </c>
      <c r="N21" s="208" t="s">
        <v>98</v>
      </c>
      <c r="O21" s="336"/>
    </row>
    <row r="22" spans="1:20" ht="15" customHeight="1" x14ac:dyDescent="0.2">
      <c r="A22" s="203"/>
      <c r="B22" s="202" t="s">
        <v>163</v>
      </c>
      <c r="C22" s="202" t="s">
        <v>845</v>
      </c>
      <c r="D22" s="202"/>
      <c r="E22" s="201"/>
      <c r="F22" s="204"/>
      <c r="G22" s="199">
        <v>5</v>
      </c>
      <c r="H22" s="198">
        <f>'Respondent Yr3'!I22</f>
        <v>1.3</v>
      </c>
      <c r="I22" s="198">
        <f t="shared" si="3"/>
        <v>6.5</v>
      </c>
      <c r="J22" s="198">
        <f t="shared" si="4"/>
        <v>6.5</v>
      </c>
      <c r="K22" s="198">
        <f t="shared" si="5"/>
        <v>0.32500000000000001</v>
      </c>
      <c r="L22" s="198">
        <f t="shared" si="6"/>
        <v>0.65</v>
      </c>
      <c r="M22" s="197">
        <f>(J22*'Agency Base Data'!$D$6)+(K22*'Agency Base Data'!$D$4)+(L22*'Agency Base Data'!$D$5)</f>
        <v>343.60559999999998</v>
      </c>
      <c r="N22" s="208" t="s">
        <v>63</v>
      </c>
    </row>
    <row r="23" spans="1:20" ht="15" customHeight="1" x14ac:dyDescent="0.2">
      <c r="A23" s="203"/>
      <c r="B23" s="202" t="s">
        <v>186</v>
      </c>
      <c r="C23" s="202" t="s">
        <v>189</v>
      </c>
      <c r="D23" s="202"/>
      <c r="E23" s="201"/>
      <c r="F23" s="200"/>
      <c r="G23" s="199">
        <v>12</v>
      </c>
      <c r="H23" s="198">
        <f>H$12</f>
        <v>13</v>
      </c>
      <c r="I23" s="198">
        <f t="shared" si="3"/>
        <v>156</v>
      </c>
      <c r="J23" s="198">
        <f t="shared" si="4"/>
        <v>156</v>
      </c>
      <c r="K23" s="198">
        <f t="shared" si="5"/>
        <v>7.8000000000000007</v>
      </c>
      <c r="L23" s="198">
        <f t="shared" si="6"/>
        <v>15.600000000000001</v>
      </c>
      <c r="M23" s="197">
        <f>(J23*'Agency Base Data'!$D$6)+(K23*'Agency Base Data'!$D$4)+(L23*'Agency Base Data'!$D$5)</f>
        <v>8246.5344000000005</v>
      </c>
      <c r="N23" s="208" t="s">
        <v>98</v>
      </c>
      <c r="O23" s="336"/>
    </row>
    <row r="24" spans="1:20" ht="15" customHeight="1" x14ac:dyDescent="0.2">
      <c r="A24" s="203"/>
      <c r="B24" s="202" t="s">
        <v>846</v>
      </c>
      <c r="C24" s="202" t="s">
        <v>183</v>
      </c>
      <c r="D24" s="202"/>
      <c r="E24" s="201"/>
      <c r="F24" s="200"/>
      <c r="G24" s="199">
        <v>2</v>
      </c>
      <c r="H24" s="198">
        <f>'Respondent Yr3'!I25</f>
        <v>117</v>
      </c>
      <c r="I24" s="198">
        <f t="shared" si="3"/>
        <v>234</v>
      </c>
      <c r="J24" s="198">
        <f t="shared" si="4"/>
        <v>234</v>
      </c>
      <c r="K24" s="198">
        <f t="shared" si="5"/>
        <v>11.700000000000001</v>
      </c>
      <c r="L24" s="198">
        <f t="shared" si="6"/>
        <v>23.400000000000002</v>
      </c>
      <c r="M24" s="197">
        <f>(J24*'Agency Base Data'!$D$6)+(K24*'Agency Base Data'!$D$4)+(L24*'Agency Base Data'!$D$5)</f>
        <v>12369.801599999999</v>
      </c>
      <c r="N24" s="208"/>
    </row>
    <row r="25" spans="1:20" ht="24.75" customHeight="1" thickBot="1" x14ac:dyDescent="0.25">
      <c r="A25" s="195" t="s">
        <v>152</v>
      </c>
      <c r="B25" s="194" t="s">
        <v>151</v>
      </c>
      <c r="C25" s="193"/>
      <c r="D25" s="192"/>
      <c r="E25" s="192"/>
      <c r="F25" s="178"/>
      <c r="G25" s="499" t="s">
        <v>1192</v>
      </c>
      <c r="H25" s="500"/>
      <c r="I25" s="500"/>
      <c r="J25" s="501"/>
      <c r="K25" s="191"/>
      <c r="L25" s="176"/>
      <c r="M25" s="190">
        <f>(('Agency Base Data'!$C$14*('Agency Base Data'!$C$11+'Agency Base Data'!$C$12))+'Agency Base Data'!$C$13)*SUM(H8:H9)</f>
        <v>29328.000000000004</v>
      </c>
      <c r="N25" s="234" t="s">
        <v>105</v>
      </c>
      <c r="P25" s="169"/>
    </row>
    <row r="26" spans="1:20" x14ac:dyDescent="0.2">
      <c r="A26" s="189" t="s">
        <v>150</v>
      </c>
      <c r="B26" s="187"/>
      <c r="C26" s="188"/>
      <c r="D26" s="187"/>
      <c r="E26" s="186"/>
      <c r="F26" s="185"/>
      <c r="G26" s="184"/>
      <c r="H26" s="184"/>
      <c r="I26" s="184"/>
      <c r="J26" s="183">
        <f>SUM(J5:J24)</f>
        <v>1503.7</v>
      </c>
      <c r="K26" s="183">
        <f>SUM(K5:K24)</f>
        <v>75.185000000000016</v>
      </c>
      <c r="L26" s="183">
        <f>SUM(L5:L24)</f>
        <v>150.37000000000003</v>
      </c>
      <c r="M26" s="182">
        <f>SUM(M5:M25)</f>
        <v>126694.79087999999</v>
      </c>
      <c r="N26" s="181"/>
      <c r="O26" s="169"/>
      <c r="P26" s="169"/>
      <c r="Q26" s="169"/>
      <c r="R26" s="169"/>
      <c r="S26" s="169"/>
      <c r="T26" s="169"/>
    </row>
    <row r="27" spans="1:20" ht="13.5" thickBot="1" x14ac:dyDescent="0.25">
      <c r="A27" s="180" t="s">
        <v>149</v>
      </c>
      <c r="B27" s="179"/>
      <c r="C27" s="179"/>
      <c r="D27" s="179"/>
      <c r="E27" s="179"/>
      <c r="F27" s="179"/>
      <c r="G27" s="178"/>
      <c r="H27" s="178"/>
      <c r="I27" s="178"/>
      <c r="J27" s="177"/>
      <c r="K27" s="176"/>
      <c r="L27" s="175">
        <f>(SUM(J5:J24))+(SUM(K5:K24))+(SUM(L5:L24))</f>
        <v>1729.2550000000001</v>
      </c>
      <c r="M27" s="174"/>
      <c r="N27" s="173"/>
      <c r="O27" s="169"/>
      <c r="P27" s="169"/>
      <c r="Q27" s="169"/>
      <c r="R27" s="169"/>
      <c r="S27" s="169"/>
      <c r="T27" s="169"/>
    </row>
    <row r="28" spans="1:20" ht="6.75" customHeight="1" x14ac:dyDescent="0.2">
      <c r="G28" s="164"/>
      <c r="H28" s="164"/>
      <c r="I28" s="164"/>
      <c r="O28" s="169"/>
      <c r="P28" s="169"/>
      <c r="Q28" s="169"/>
      <c r="R28" s="169"/>
      <c r="S28" s="169"/>
      <c r="T28" s="169"/>
    </row>
    <row r="29" spans="1:20" s="169" customFormat="1" ht="11.25" x14ac:dyDescent="0.2">
      <c r="A29" s="169" t="s">
        <v>1204</v>
      </c>
      <c r="J29" s="172"/>
      <c r="K29" s="172"/>
      <c r="L29" s="172"/>
      <c r="M29" s="171"/>
      <c r="N29" s="170"/>
    </row>
    <row r="30" spans="1:20" s="169" customFormat="1" x14ac:dyDescent="0.2">
      <c r="A30" s="498" t="s">
        <v>849</v>
      </c>
      <c r="B30" s="498"/>
      <c r="C30" s="498"/>
      <c r="D30" s="498"/>
      <c r="E30" s="498"/>
      <c r="F30" s="498"/>
      <c r="G30" s="498"/>
      <c r="H30" s="498"/>
      <c r="I30" s="498"/>
      <c r="J30" s="498"/>
      <c r="K30" s="498"/>
      <c r="L30" s="498"/>
      <c r="M30" s="498"/>
      <c r="N30" s="498"/>
      <c r="P30" s="164"/>
      <c r="Q30" s="164"/>
      <c r="R30" s="164"/>
    </row>
    <row r="31" spans="1:20" s="169" customFormat="1" ht="25.5" customHeight="1" x14ac:dyDescent="0.2">
      <c r="A31" s="502" t="s">
        <v>1213</v>
      </c>
      <c r="B31" s="502"/>
      <c r="C31" s="502"/>
      <c r="D31" s="502"/>
      <c r="E31" s="502"/>
      <c r="F31" s="502"/>
      <c r="G31" s="502"/>
      <c r="H31" s="502"/>
      <c r="I31" s="502"/>
      <c r="J31" s="502"/>
      <c r="K31" s="502"/>
      <c r="L31" s="502"/>
      <c r="M31" s="502"/>
      <c r="N31" s="502"/>
      <c r="P31" s="164"/>
      <c r="Q31" s="164"/>
      <c r="R31" s="164"/>
      <c r="S31" s="164"/>
      <c r="T31" s="164"/>
    </row>
    <row r="32" spans="1:20" s="169" customFormat="1" ht="11.25" x14ac:dyDescent="0.2">
      <c r="A32" s="498" t="s">
        <v>1208</v>
      </c>
      <c r="B32" s="498"/>
      <c r="C32" s="498"/>
      <c r="D32" s="498"/>
      <c r="E32" s="498"/>
      <c r="F32" s="498"/>
      <c r="G32" s="498"/>
      <c r="H32" s="498"/>
      <c r="I32" s="498"/>
      <c r="J32" s="498"/>
      <c r="K32" s="498"/>
      <c r="L32" s="498"/>
      <c r="M32" s="498"/>
      <c r="N32" s="498"/>
      <c r="O32" s="337"/>
    </row>
    <row r="33" spans="1:15" x14ac:dyDescent="0.2">
      <c r="A33" s="498" t="s">
        <v>1209</v>
      </c>
      <c r="B33" s="498"/>
      <c r="C33" s="498"/>
      <c r="D33" s="498"/>
      <c r="E33" s="498"/>
      <c r="F33" s="498"/>
      <c r="G33" s="498"/>
      <c r="H33" s="498"/>
      <c r="I33" s="498"/>
      <c r="J33" s="498"/>
      <c r="K33" s="498"/>
      <c r="L33" s="498"/>
      <c r="M33" s="498"/>
      <c r="N33" s="498"/>
      <c r="O33" s="337"/>
    </row>
    <row r="34" spans="1:15" s="169" customFormat="1" ht="12.75" customHeight="1" x14ac:dyDescent="0.2">
      <c r="A34" s="169" t="s">
        <v>1194</v>
      </c>
    </row>
    <row r="35" spans="1:15" s="169" customFormat="1" ht="12.75" customHeight="1" x14ac:dyDescent="0.2">
      <c r="A35" s="169" t="s">
        <v>1195</v>
      </c>
    </row>
    <row r="36" spans="1:15" s="169" customFormat="1" ht="22.5" customHeight="1" x14ac:dyDescent="0.2">
      <c r="A36" s="498" t="s">
        <v>1231</v>
      </c>
      <c r="B36" s="498"/>
      <c r="C36" s="498"/>
      <c r="D36" s="498"/>
      <c r="E36" s="498"/>
      <c r="F36" s="498"/>
      <c r="G36" s="498"/>
      <c r="H36" s="498"/>
      <c r="I36" s="498"/>
      <c r="J36" s="498"/>
      <c r="K36" s="498"/>
      <c r="L36" s="498"/>
      <c r="M36" s="498"/>
      <c r="N36" s="498"/>
      <c r="O36" s="337"/>
    </row>
    <row r="37" spans="1:15" s="169" customFormat="1" ht="11.25" x14ac:dyDescent="0.2">
      <c r="A37" s="498" t="s">
        <v>1223</v>
      </c>
      <c r="B37" s="498"/>
      <c r="C37" s="498"/>
      <c r="D37" s="498"/>
      <c r="E37" s="498"/>
      <c r="F37" s="498"/>
      <c r="G37" s="498"/>
      <c r="H37" s="498"/>
      <c r="I37" s="498"/>
      <c r="J37" s="498"/>
      <c r="K37" s="498"/>
      <c r="L37" s="498"/>
      <c r="M37" s="498"/>
      <c r="N37" s="498"/>
      <c r="O37" s="337"/>
    </row>
    <row r="38" spans="1:15" s="169" customFormat="1" ht="11.25" customHeight="1" x14ac:dyDescent="0.2">
      <c r="A38" s="169" t="s">
        <v>1196</v>
      </c>
      <c r="J38" s="172"/>
      <c r="K38" s="172"/>
      <c r="L38" s="172"/>
      <c r="M38" s="171"/>
      <c r="N38" s="170"/>
      <c r="O38" s="164"/>
    </row>
    <row r="39" spans="1:15" x14ac:dyDescent="0.2">
      <c r="A39" s="169" t="s">
        <v>1197</v>
      </c>
      <c r="B39" s="336"/>
      <c r="C39" s="336"/>
      <c r="D39" s="336"/>
      <c r="E39" s="336"/>
      <c r="F39" s="336"/>
      <c r="G39" s="336"/>
      <c r="H39" s="336"/>
      <c r="I39" s="336"/>
      <c r="J39" s="343"/>
      <c r="K39" s="343"/>
      <c r="L39" s="343"/>
      <c r="M39" s="344"/>
      <c r="N39" s="345"/>
    </row>
    <row r="40" spans="1:15" ht="39" customHeight="1" x14ac:dyDescent="0.2">
      <c r="A40" s="169" t="s">
        <v>1198</v>
      </c>
      <c r="B40" s="336"/>
      <c r="C40" s="336"/>
      <c r="D40" s="336"/>
      <c r="E40" s="336"/>
      <c r="F40" s="336"/>
      <c r="G40" s="336"/>
      <c r="H40" s="336"/>
      <c r="I40" s="336"/>
      <c r="J40" s="343"/>
      <c r="K40" s="343"/>
      <c r="L40" s="343"/>
      <c r="M40" s="344"/>
      <c r="N40" s="345"/>
    </row>
    <row r="41" spans="1:15" ht="33" customHeight="1" x14ac:dyDescent="0.2">
      <c r="A41" s="498" t="s">
        <v>1199</v>
      </c>
      <c r="B41" s="498"/>
      <c r="C41" s="498"/>
      <c r="D41" s="498"/>
      <c r="E41" s="498"/>
      <c r="F41" s="498"/>
      <c r="G41" s="498"/>
      <c r="H41" s="498"/>
      <c r="I41" s="498"/>
      <c r="J41" s="498"/>
      <c r="K41" s="498"/>
      <c r="L41" s="498"/>
      <c r="M41" s="498"/>
      <c r="N41" s="498"/>
    </row>
    <row r="42" spans="1:15" ht="23.25" customHeight="1" x14ac:dyDescent="0.2">
      <c r="A42" s="498" t="s">
        <v>1203</v>
      </c>
      <c r="B42" s="498"/>
      <c r="C42" s="498"/>
      <c r="D42" s="498"/>
      <c r="E42" s="498"/>
      <c r="F42" s="498"/>
      <c r="G42" s="498"/>
      <c r="H42" s="498"/>
      <c r="I42" s="498"/>
      <c r="J42" s="498"/>
      <c r="K42" s="498"/>
      <c r="L42" s="498"/>
      <c r="M42" s="498"/>
      <c r="N42" s="498"/>
    </row>
    <row r="44" spans="1:15" x14ac:dyDescent="0.2">
      <c r="A44" s="168"/>
    </row>
    <row r="46" spans="1:15" x14ac:dyDescent="0.2">
      <c r="A46" s="168"/>
    </row>
    <row r="47" spans="1:15" x14ac:dyDescent="0.2">
      <c r="A47" s="168"/>
    </row>
    <row r="49" spans="7:10" x14ac:dyDescent="0.2">
      <c r="J49" s="166"/>
    </row>
    <row r="51" spans="7:10" x14ac:dyDescent="0.2">
      <c r="G51" s="221"/>
      <c r="H51" s="221"/>
      <c r="J51" s="166"/>
    </row>
    <row r="52" spans="7:10" x14ac:dyDescent="0.2">
      <c r="G52" s="222"/>
      <c r="H52" s="222"/>
    </row>
    <row r="53" spans="7:10" x14ac:dyDescent="0.2">
      <c r="G53" s="223"/>
      <c r="H53" s="222"/>
    </row>
    <row r="54" spans="7:10" x14ac:dyDescent="0.2">
      <c r="G54" s="222"/>
      <c r="H54" s="222"/>
    </row>
  </sheetData>
  <mergeCells count="13">
    <mergeCell ref="A42:N42"/>
    <mergeCell ref="A31:N31"/>
    <mergeCell ref="A32:N32"/>
    <mergeCell ref="A41:N41"/>
    <mergeCell ref="A33:N33"/>
    <mergeCell ref="A37:N37"/>
    <mergeCell ref="A36:N36"/>
    <mergeCell ref="A30:N30"/>
    <mergeCell ref="A1:N1"/>
    <mergeCell ref="A2:N2"/>
    <mergeCell ref="B6:F6"/>
    <mergeCell ref="C15:F15"/>
    <mergeCell ref="G25:J25"/>
  </mergeCells>
  <pageMargins left="0.25" right="0.25" top="0.5" bottom="0.5" header="0.5" footer="0.5"/>
  <pageSetup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D648"/>
  <sheetViews>
    <sheetView topLeftCell="B1" workbookViewId="0">
      <pane ySplit="3" topLeftCell="A4" activePane="bottomLeft" state="frozen"/>
      <selection activeCell="E15" sqref="E15"/>
      <selection pane="bottomLeft" activeCell="E15" sqref="E15"/>
    </sheetView>
  </sheetViews>
  <sheetFormatPr defaultRowHeight="12.75" x14ac:dyDescent="0.2"/>
  <cols>
    <col min="1" max="1" width="4" style="233" hidden="1" customWidth="1"/>
    <col min="2" max="2" width="7.28515625" style="233" customWidth="1"/>
    <col min="3" max="3" width="32.28515625" style="272" customWidth="1"/>
    <col min="4" max="4" width="35.28515625" style="272" customWidth="1"/>
    <col min="5" max="5" width="15.42578125" style="233" bestFit="1" customWidth="1"/>
    <col min="6" max="6" width="13.7109375" style="233" bestFit="1" customWidth="1"/>
    <col min="7" max="7" width="19.7109375" style="233" bestFit="1" customWidth="1"/>
    <col min="8" max="8" width="12.42578125" style="271" bestFit="1" customWidth="1"/>
    <col min="9" max="16384" width="9.140625" style="233"/>
  </cols>
  <sheetData>
    <row r="1" spans="1:16384" ht="15.75" x14ac:dyDescent="0.25">
      <c r="A1" s="231"/>
      <c r="B1" s="231" t="s">
        <v>1099</v>
      </c>
      <c r="C1" s="288"/>
      <c r="D1" s="288"/>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c r="IS1" s="231"/>
      <c r="IT1" s="231"/>
      <c r="IU1" s="231"/>
      <c r="IV1" s="231"/>
      <c r="IW1" s="231"/>
      <c r="IX1" s="231"/>
      <c r="IY1" s="231"/>
      <c r="IZ1" s="231"/>
      <c r="JA1" s="231"/>
      <c r="JB1" s="231"/>
      <c r="JC1" s="231"/>
      <c r="JD1" s="231"/>
      <c r="JE1" s="231"/>
      <c r="JF1" s="231"/>
      <c r="JG1" s="231"/>
      <c r="JH1" s="231"/>
      <c r="JI1" s="231"/>
      <c r="JJ1" s="231"/>
      <c r="JK1" s="231"/>
      <c r="JL1" s="231"/>
      <c r="JM1" s="231"/>
      <c r="JN1" s="231"/>
      <c r="JO1" s="231"/>
      <c r="JP1" s="231"/>
      <c r="JQ1" s="231"/>
      <c r="JR1" s="231"/>
      <c r="JS1" s="231"/>
      <c r="JT1" s="231"/>
      <c r="JU1" s="231"/>
      <c r="JV1" s="231"/>
      <c r="JW1" s="231"/>
      <c r="JX1" s="231"/>
      <c r="JY1" s="231"/>
      <c r="JZ1" s="231"/>
      <c r="KA1" s="231"/>
      <c r="KB1" s="231"/>
      <c r="KC1" s="231"/>
      <c r="KD1" s="231"/>
      <c r="KE1" s="231"/>
      <c r="KF1" s="231"/>
      <c r="KG1" s="231"/>
      <c r="KH1" s="231"/>
      <c r="KI1" s="231"/>
      <c r="KJ1" s="231"/>
      <c r="KK1" s="231"/>
      <c r="KL1" s="231"/>
      <c r="KM1" s="231"/>
      <c r="KN1" s="231"/>
      <c r="KO1" s="231"/>
      <c r="KP1" s="231"/>
      <c r="KQ1" s="231"/>
      <c r="KR1" s="231"/>
      <c r="KS1" s="231"/>
      <c r="KT1" s="231"/>
      <c r="KU1" s="231"/>
      <c r="KV1" s="231"/>
      <c r="KW1" s="231"/>
      <c r="KX1" s="231"/>
      <c r="KY1" s="231"/>
      <c r="KZ1" s="231"/>
      <c r="LA1" s="231"/>
      <c r="LB1" s="231"/>
      <c r="LC1" s="231"/>
      <c r="LD1" s="231"/>
      <c r="LE1" s="231"/>
      <c r="LF1" s="231"/>
      <c r="LG1" s="231"/>
      <c r="LH1" s="231"/>
      <c r="LI1" s="231"/>
      <c r="LJ1" s="231"/>
      <c r="LK1" s="231"/>
      <c r="LL1" s="231"/>
      <c r="LM1" s="231"/>
      <c r="LN1" s="231"/>
      <c r="LO1" s="231"/>
      <c r="LP1" s="231"/>
      <c r="LQ1" s="231"/>
      <c r="LR1" s="231"/>
      <c r="LS1" s="231"/>
      <c r="LT1" s="231"/>
      <c r="LU1" s="231"/>
      <c r="LV1" s="231"/>
      <c r="LW1" s="231"/>
      <c r="LX1" s="231"/>
      <c r="LY1" s="231"/>
      <c r="LZ1" s="231"/>
      <c r="MA1" s="231"/>
      <c r="MB1" s="231"/>
      <c r="MC1" s="231"/>
      <c r="MD1" s="231"/>
      <c r="ME1" s="231"/>
      <c r="MF1" s="231"/>
      <c r="MG1" s="231"/>
      <c r="MH1" s="231"/>
      <c r="MI1" s="231"/>
      <c r="MJ1" s="231"/>
      <c r="MK1" s="231"/>
      <c r="ML1" s="231"/>
      <c r="MM1" s="231"/>
      <c r="MN1" s="231"/>
      <c r="MO1" s="231"/>
      <c r="MP1" s="231"/>
      <c r="MQ1" s="231"/>
      <c r="MR1" s="231"/>
      <c r="MS1" s="231"/>
      <c r="MT1" s="231"/>
      <c r="MU1" s="231"/>
      <c r="MV1" s="231"/>
      <c r="MW1" s="231"/>
      <c r="MX1" s="231"/>
      <c r="MY1" s="231"/>
      <c r="MZ1" s="231"/>
      <c r="NA1" s="231"/>
      <c r="NB1" s="231"/>
      <c r="NC1" s="231"/>
      <c r="ND1" s="231"/>
      <c r="NE1" s="231"/>
      <c r="NF1" s="231"/>
      <c r="NG1" s="231"/>
      <c r="NH1" s="231"/>
      <c r="NI1" s="231"/>
      <c r="NJ1" s="231"/>
      <c r="NK1" s="231"/>
      <c r="NL1" s="231"/>
      <c r="NM1" s="231"/>
      <c r="NN1" s="231"/>
      <c r="NO1" s="231"/>
      <c r="NP1" s="231"/>
      <c r="NQ1" s="231"/>
      <c r="NR1" s="231"/>
      <c r="NS1" s="231"/>
      <c r="NT1" s="231"/>
      <c r="NU1" s="231"/>
      <c r="NV1" s="231"/>
      <c r="NW1" s="231"/>
      <c r="NX1" s="231"/>
      <c r="NY1" s="231"/>
      <c r="NZ1" s="231"/>
      <c r="OA1" s="231"/>
      <c r="OB1" s="231"/>
      <c r="OC1" s="231"/>
      <c r="OD1" s="231"/>
      <c r="OE1" s="231"/>
      <c r="OF1" s="231"/>
      <c r="OG1" s="231"/>
      <c r="OH1" s="231"/>
      <c r="OI1" s="231"/>
      <c r="OJ1" s="231"/>
      <c r="OK1" s="231"/>
      <c r="OL1" s="231"/>
      <c r="OM1" s="231"/>
      <c r="ON1" s="231"/>
      <c r="OO1" s="231"/>
      <c r="OP1" s="231"/>
      <c r="OQ1" s="231"/>
      <c r="OR1" s="231"/>
      <c r="OS1" s="231"/>
      <c r="OT1" s="231"/>
      <c r="OU1" s="231"/>
      <c r="OV1" s="231"/>
      <c r="OW1" s="231"/>
      <c r="OX1" s="231"/>
      <c r="OY1" s="231"/>
      <c r="OZ1" s="231"/>
      <c r="PA1" s="231"/>
      <c r="PB1" s="231"/>
      <c r="PC1" s="231"/>
      <c r="PD1" s="231"/>
      <c r="PE1" s="231"/>
      <c r="PF1" s="231"/>
      <c r="PG1" s="231"/>
      <c r="PH1" s="231"/>
      <c r="PI1" s="231"/>
      <c r="PJ1" s="231"/>
      <c r="PK1" s="231"/>
      <c r="PL1" s="231"/>
      <c r="PM1" s="231"/>
      <c r="PN1" s="231"/>
      <c r="PO1" s="231"/>
      <c r="PP1" s="231"/>
      <c r="PQ1" s="231"/>
      <c r="PR1" s="231"/>
      <c r="PS1" s="231"/>
      <c r="PT1" s="231"/>
      <c r="PU1" s="231"/>
      <c r="PV1" s="231"/>
      <c r="PW1" s="231"/>
      <c r="PX1" s="231"/>
      <c r="PY1" s="231"/>
      <c r="PZ1" s="231"/>
      <c r="QA1" s="231"/>
      <c r="QB1" s="231"/>
      <c r="QC1" s="231"/>
      <c r="QD1" s="231"/>
      <c r="QE1" s="231"/>
      <c r="QF1" s="231"/>
      <c r="QG1" s="231"/>
      <c r="QH1" s="231"/>
      <c r="QI1" s="231"/>
      <c r="QJ1" s="231"/>
      <c r="QK1" s="231"/>
      <c r="QL1" s="231"/>
      <c r="QM1" s="231"/>
      <c r="QN1" s="231"/>
      <c r="QO1" s="231"/>
      <c r="QP1" s="231"/>
      <c r="QQ1" s="231"/>
      <c r="QR1" s="231"/>
      <c r="QS1" s="231"/>
      <c r="QT1" s="231"/>
      <c r="QU1" s="231"/>
      <c r="QV1" s="231"/>
      <c r="QW1" s="231"/>
      <c r="QX1" s="231"/>
      <c r="QY1" s="231"/>
      <c r="QZ1" s="231"/>
      <c r="RA1" s="231"/>
      <c r="RB1" s="231"/>
      <c r="RC1" s="231"/>
      <c r="RD1" s="231"/>
      <c r="RE1" s="231"/>
      <c r="RF1" s="231"/>
      <c r="RG1" s="231"/>
      <c r="RH1" s="231"/>
      <c r="RI1" s="231"/>
      <c r="RJ1" s="231"/>
      <c r="RK1" s="231"/>
      <c r="RL1" s="231"/>
      <c r="RM1" s="231"/>
      <c r="RN1" s="231"/>
      <c r="RO1" s="231"/>
      <c r="RP1" s="231"/>
      <c r="RQ1" s="231"/>
      <c r="RR1" s="231"/>
      <c r="RS1" s="231"/>
      <c r="RT1" s="231"/>
      <c r="RU1" s="231"/>
      <c r="RV1" s="231"/>
      <c r="RW1" s="231"/>
      <c r="RX1" s="231"/>
      <c r="RY1" s="231"/>
      <c r="RZ1" s="231"/>
      <c r="SA1" s="231"/>
      <c r="SB1" s="231"/>
      <c r="SC1" s="231"/>
      <c r="SD1" s="231"/>
      <c r="SE1" s="231"/>
      <c r="SF1" s="231"/>
      <c r="SG1" s="231"/>
      <c r="SH1" s="231"/>
      <c r="SI1" s="231"/>
      <c r="SJ1" s="231"/>
      <c r="SK1" s="231"/>
      <c r="SL1" s="231"/>
      <c r="SM1" s="231"/>
      <c r="SN1" s="231"/>
      <c r="SO1" s="231"/>
      <c r="SP1" s="231"/>
      <c r="SQ1" s="231"/>
      <c r="SR1" s="231"/>
      <c r="SS1" s="231"/>
      <c r="ST1" s="231"/>
      <c r="SU1" s="231"/>
      <c r="SV1" s="231"/>
      <c r="SW1" s="231"/>
      <c r="SX1" s="231"/>
      <c r="SY1" s="231"/>
      <c r="SZ1" s="231"/>
      <c r="TA1" s="231"/>
      <c r="TB1" s="231"/>
      <c r="TC1" s="231"/>
      <c r="TD1" s="231"/>
      <c r="TE1" s="231"/>
      <c r="TF1" s="231"/>
      <c r="TG1" s="231"/>
      <c r="TH1" s="231"/>
      <c r="TI1" s="231"/>
      <c r="TJ1" s="231"/>
      <c r="TK1" s="231"/>
      <c r="TL1" s="231"/>
      <c r="TM1" s="231"/>
      <c r="TN1" s="231"/>
      <c r="TO1" s="231"/>
      <c r="TP1" s="231"/>
      <c r="TQ1" s="231"/>
      <c r="TR1" s="231"/>
      <c r="TS1" s="231"/>
      <c r="TT1" s="231"/>
      <c r="TU1" s="231"/>
      <c r="TV1" s="231"/>
      <c r="TW1" s="231"/>
      <c r="TX1" s="231"/>
      <c r="TY1" s="231"/>
      <c r="TZ1" s="231"/>
      <c r="UA1" s="231"/>
      <c r="UB1" s="231"/>
      <c r="UC1" s="231"/>
      <c r="UD1" s="231"/>
      <c r="UE1" s="231"/>
      <c r="UF1" s="231"/>
      <c r="UG1" s="231"/>
      <c r="UH1" s="231"/>
      <c r="UI1" s="231"/>
      <c r="UJ1" s="231"/>
      <c r="UK1" s="231"/>
      <c r="UL1" s="231"/>
      <c r="UM1" s="231"/>
      <c r="UN1" s="231"/>
      <c r="UO1" s="231"/>
      <c r="UP1" s="231"/>
      <c r="UQ1" s="231"/>
      <c r="UR1" s="231"/>
      <c r="US1" s="231"/>
      <c r="UT1" s="231"/>
      <c r="UU1" s="231"/>
      <c r="UV1" s="231"/>
      <c r="UW1" s="231"/>
      <c r="UX1" s="231"/>
      <c r="UY1" s="231"/>
      <c r="UZ1" s="231"/>
      <c r="VA1" s="231"/>
      <c r="VB1" s="231"/>
      <c r="VC1" s="231"/>
      <c r="VD1" s="231"/>
      <c r="VE1" s="231"/>
      <c r="VF1" s="231"/>
      <c r="VG1" s="231"/>
      <c r="VH1" s="231"/>
      <c r="VI1" s="231"/>
      <c r="VJ1" s="231"/>
      <c r="VK1" s="231"/>
      <c r="VL1" s="231"/>
      <c r="VM1" s="231"/>
      <c r="VN1" s="231"/>
      <c r="VO1" s="231"/>
      <c r="VP1" s="231"/>
      <c r="VQ1" s="231"/>
      <c r="VR1" s="231"/>
      <c r="VS1" s="231"/>
      <c r="VT1" s="231"/>
      <c r="VU1" s="231"/>
      <c r="VV1" s="231"/>
      <c r="VW1" s="231"/>
      <c r="VX1" s="231"/>
      <c r="VY1" s="231"/>
      <c r="VZ1" s="231"/>
      <c r="WA1" s="231"/>
      <c r="WB1" s="231"/>
      <c r="WC1" s="231"/>
      <c r="WD1" s="231"/>
      <c r="WE1" s="231"/>
      <c r="WF1" s="231"/>
      <c r="WG1" s="231"/>
      <c r="WH1" s="231"/>
      <c r="WI1" s="231"/>
      <c r="WJ1" s="231"/>
      <c r="WK1" s="231"/>
      <c r="WL1" s="231"/>
      <c r="WM1" s="231"/>
      <c r="WN1" s="231"/>
      <c r="WO1" s="231"/>
      <c r="WP1" s="231"/>
      <c r="WQ1" s="231"/>
      <c r="WR1" s="231"/>
      <c r="WS1" s="231"/>
      <c r="WT1" s="231"/>
      <c r="WU1" s="231"/>
      <c r="WV1" s="231"/>
      <c r="WW1" s="231"/>
      <c r="WX1" s="231"/>
      <c r="WY1" s="231"/>
      <c r="WZ1" s="231"/>
      <c r="XA1" s="231"/>
      <c r="XB1" s="231"/>
      <c r="XC1" s="231"/>
      <c r="XD1" s="231"/>
      <c r="XE1" s="231"/>
      <c r="XF1" s="231"/>
      <c r="XG1" s="231"/>
      <c r="XH1" s="231"/>
      <c r="XI1" s="231"/>
      <c r="XJ1" s="231"/>
      <c r="XK1" s="231"/>
      <c r="XL1" s="231"/>
      <c r="XM1" s="231"/>
      <c r="XN1" s="231"/>
      <c r="XO1" s="231"/>
      <c r="XP1" s="231"/>
      <c r="XQ1" s="231"/>
      <c r="XR1" s="231"/>
      <c r="XS1" s="231"/>
      <c r="XT1" s="231"/>
      <c r="XU1" s="231"/>
      <c r="XV1" s="231"/>
      <c r="XW1" s="231"/>
      <c r="XX1" s="231"/>
      <c r="XY1" s="231"/>
      <c r="XZ1" s="231"/>
      <c r="YA1" s="231"/>
      <c r="YB1" s="231"/>
      <c r="YC1" s="231"/>
      <c r="YD1" s="231"/>
      <c r="YE1" s="231"/>
      <c r="YF1" s="231"/>
      <c r="YG1" s="231"/>
      <c r="YH1" s="231"/>
      <c r="YI1" s="231"/>
      <c r="YJ1" s="231"/>
      <c r="YK1" s="231"/>
      <c r="YL1" s="231"/>
      <c r="YM1" s="231"/>
      <c r="YN1" s="231"/>
      <c r="YO1" s="231"/>
      <c r="YP1" s="231"/>
      <c r="YQ1" s="231"/>
      <c r="YR1" s="231"/>
      <c r="YS1" s="231"/>
      <c r="YT1" s="231"/>
      <c r="YU1" s="231"/>
      <c r="YV1" s="231"/>
      <c r="YW1" s="231"/>
      <c r="YX1" s="231"/>
      <c r="YY1" s="231"/>
      <c r="YZ1" s="231"/>
      <c r="ZA1" s="231"/>
      <c r="ZB1" s="231"/>
      <c r="ZC1" s="231"/>
      <c r="ZD1" s="231"/>
      <c r="ZE1" s="231"/>
      <c r="ZF1" s="231"/>
      <c r="ZG1" s="231"/>
      <c r="ZH1" s="231"/>
      <c r="ZI1" s="231"/>
      <c r="ZJ1" s="231"/>
      <c r="ZK1" s="231"/>
      <c r="ZL1" s="231"/>
      <c r="ZM1" s="231"/>
      <c r="ZN1" s="231"/>
      <c r="ZO1" s="231"/>
      <c r="ZP1" s="231"/>
      <c r="ZQ1" s="231"/>
      <c r="ZR1" s="231"/>
      <c r="ZS1" s="231"/>
      <c r="ZT1" s="231"/>
      <c r="ZU1" s="231"/>
      <c r="ZV1" s="231"/>
      <c r="ZW1" s="231"/>
      <c r="ZX1" s="231"/>
      <c r="ZY1" s="231"/>
      <c r="ZZ1" s="231"/>
      <c r="AAA1" s="231"/>
      <c r="AAB1" s="231"/>
      <c r="AAC1" s="231"/>
      <c r="AAD1" s="231"/>
      <c r="AAE1" s="231"/>
      <c r="AAF1" s="231"/>
      <c r="AAG1" s="231"/>
      <c r="AAH1" s="231"/>
      <c r="AAI1" s="231"/>
      <c r="AAJ1" s="231"/>
      <c r="AAK1" s="231"/>
      <c r="AAL1" s="231"/>
      <c r="AAM1" s="231"/>
      <c r="AAN1" s="231"/>
      <c r="AAO1" s="231"/>
      <c r="AAP1" s="231"/>
      <c r="AAQ1" s="231"/>
      <c r="AAR1" s="231"/>
      <c r="AAS1" s="231"/>
      <c r="AAT1" s="231"/>
      <c r="AAU1" s="231"/>
      <c r="AAV1" s="231"/>
      <c r="AAW1" s="231"/>
      <c r="AAX1" s="231"/>
      <c r="AAY1" s="231"/>
      <c r="AAZ1" s="231"/>
      <c r="ABA1" s="231"/>
      <c r="ABB1" s="231"/>
      <c r="ABC1" s="231"/>
      <c r="ABD1" s="231"/>
      <c r="ABE1" s="231"/>
      <c r="ABF1" s="231"/>
      <c r="ABG1" s="231"/>
      <c r="ABH1" s="231"/>
      <c r="ABI1" s="231"/>
      <c r="ABJ1" s="231"/>
      <c r="ABK1" s="231"/>
      <c r="ABL1" s="231"/>
      <c r="ABM1" s="231"/>
      <c r="ABN1" s="231"/>
      <c r="ABO1" s="231"/>
      <c r="ABP1" s="231"/>
      <c r="ABQ1" s="231"/>
      <c r="ABR1" s="231"/>
      <c r="ABS1" s="231"/>
      <c r="ABT1" s="231"/>
      <c r="ABU1" s="231"/>
      <c r="ABV1" s="231"/>
      <c r="ABW1" s="231"/>
      <c r="ABX1" s="231"/>
      <c r="ABY1" s="231"/>
      <c r="ABZ1" s="231"/>
      <c r="ACA1" s="231"/>
      <c r="ACB1" s="231"/>
      <c r="ACC1" s="231"/>
      <c r="ACD1" s="231"/>
      <c r="ACE1" s="231"/>
      <c r="ACF1" s="231"/>
      <c r="ACG1" s="231"/>
      <c r="ACH1" s="231"/>
      <c r="ACI1" s="231"/>
      <c r="ACJ1" s="231"/>
      <c r="ACK1" s="231"/>
      <c r="ACL1" s="231"/>
      <c r="ACM1" s="231"/>
      <c r="ACN1" s="231"/>
      <c r="ACO1" s="231"/>
      <c r="ACP1" s="231"/>
      <c r="ACQ1" s="231"/>
      <c r="ACR1" s="231"/>
      <c r="ACS1" s="231"/>
      <c r="ACT1" s="231"/>
      <c r="ACU1" s="231"/>
      <c r="ACV1" s="231"/>
      <c r="ACW1" s="231"/>
      <c r="ACX1" s="231"/>
      <c r="ACY1" s="231"/>
      <c r="ACZ1" s="231"/>
      <c r="ADA1" s="231"/>
      <c r="ADB1" s="231"/>
      <c r="ADC1" s="231"/>
      <c r="ADD1" s="231"/>
      <c r="ADE1" s="231"/>
      <c r="ADF1" s="231"/>
      <c r="ADG1" s="231"/>
      <c r="ADH1" s="231"/>
      <c r="ADI1" s="231"/>
      <c r="ADJ1" s="231"/>
      <c r="ADK1" s="231"/>
      <c r="ADL1" s="231"/>
      <c r="ADM1" s="231"/>
      <c r="ADN1" s="231"/>
      <c r="ADO1" s="231"/>
      <c r="ADP1" s="231"/>
      <c r="ADQ1" s="231"/>
      <c r="ADR1" s="231"/>
      <c r="ADS1" s="231"/>
      <c r="ADT1" s="231"/>
      <c r="ADU1" s="231"/>
      <c r="ADV1" s="231"/>
      <c r="ADW1" s="231"/>
      <c r="ADX1" s="231"/>
      <c r="ADY1" s="231"/>
      <c r="ADZ1" s="231"/>
      <c r="AEA1" s="231"/>
      <c r="AEB1" s="231"/>
      <c r="AEC1" s="231"/>
      <c r="AED1" s="231"/>
      <c r="AEE1" s="231"/>
      <c r="AEF1" s="231"/>
      <c r="AEG1" s="231"/>
      <c r="AEH1" s="231"/>
      <c r="AEI1" s="231"/>
      <c r="AEJ1" s="231"/>
      <c r="AEK1" s="231"/>
      <c r="AEL1" s="231"/>
      <c r="AEM1" s="231"/>
      <c r="AEN1" s="231"/>
      <c r="AEO1" s="231"/>
      <c r="AEP1" s="231"/>
      <c r="AEQ1" s="231"/>
      <c r="AER1" s="231"/>
      <c r="AES1" s="231"/>
      <c r="AET1" s="231"/>
      <c r="AEU1" s="231"/>
      <c r="AEV1" s="231"/>
      <c r="AEW1" s="231"/>
      <c r="AEX1" s="231"/>
      <c r="AEY1" s="231"/>
      <c r="AEZ1" s="231"/>
      <c r="AFA1" s="231"/>
      <c r="AFB1" s="231"/>
      <c r="AFC1" s="231"/>
      <c r="AFD1" s="231"/>
      <c r="AFE1" s="231"/>
      <c r="AFF1" s="231"/>
      <c r="AFG1" s="231"/>
      <c r="AFH1" s="231"/>
      <c r="AFI1" s="231"/>
      <c r="AFJ1" s="231"/>
      <c r="AFK1" s="231"/>
      <c r="AFL1" s="231"/>
      <c r="AFM1" s="231"/>
      <c r="AFN1" s="231"/>
      <c r="AFO1" s="231"/>
      <c r="AFP1" s="231"/>
      <c r="AFQ1" s="231"/>
      <c r="AFR1" s="231"/>
      <c r="AFS1" s="231"/>
      <c r="AFT1" s="231"/>
      <c r="AFU1" s="231"/>
      <c r="AFV1" s="231"/>
      <c r="AFW1" s="231"/>
      <c r="AFX1" s="231"/>
      <c r="AFY1" s="231"/>
      <c r="AFZ1" s="231"/>
      <c r="AGA1" s="231"/>
      <c r="AGB1" s="231"/>
      <c r="AGC1" s="231"/>
      <c r="AGD1" s="231"/>
      <c r="AGE1" s="231"/>
      <c r="AGF1" s="231"/>
      <c r="AGG1" s="231"/>
      <c r="AGH1" s="231"/>
      <c r="AGI1" s="231"/>
      <c r="AGJ1" s="231"/>
      <c r="AGK1" s="231"/>
      <c r="AGL1" s="231"/>
      <c r="AGM1" s="231"/>
      <c r="AGN1" s="231"/>
      <c r="AGO1" s="231"/>
      <c r="AGP1" s="231"/>
      <c r="AGQ1" s="231"/>
      <c r="AGR1" s="231"/>
      <c r="AGS1" s="231"/>
      <c r="AGT1" s="231"/>
      <c r="AGU1" s="231"/>
      <c r="AGV1" s="231"/>
      <c r="AGW1" s="231"/>
      <c r="AGX1" s="231"/>
      <c r="AGY1" s="231"/>
      <c r="AGZ1" s="231"/>
      <c r="AHA1" s="231"/>
      <c r="AHB1" s="231"/>
      <c r="AHC1" s="231"/>
      <c r="AHD1" s="231"/>
      <c r="AHE1" s="231"/>
      <c r="AHF1" s="231"/>
      <c r="AHG1" s="231"/>
      <c r="AHH1" s="231"/>
      <c r="AHI1" s="231"/>
      <c r="AHJ1" s="231"/>
      <c r="AHK1" s="231"/>
      <c r="AHL1" s="231"/>
      <c r="AHM1" s="231"/>
      <c r="AHN1" s="231"/>
      <c r="AHO1" s="231"/>
      <c r="AHP1" s="231"/>
      <c r="AHQ1" s="231"/>
      <c r="AHR1" s="231"/>
      <c r="AHS1" s="231"/>
      <c r="AHT1" s="231"/>
      <c r="AHU1" s="231"/>
      <c r="AHV1" s="231"/>
      <c r="AHW1" s="231"/>
      <c r="AHX1" s="231"/>
      <c r="AHY1" s="231"/>
      <c r="AHZ1" s="231"/>
      <c r="AIA1" s="231"/>
      <c r="AIB1" s="231"/>
      <c r="AIC1" s="231"/>
      <c r="AID1" s="231"/>
      <c r="AIE1" s="231"/>
      <c r="AIF1" s="231"/>
      <c r="AIG1" s="231"/>
      <c r="AIH1" s="231"/>
      <c r="AII1" s="231"/>
      <c r="AIJ1" s="231"/>
      <c r="AIK1" s="231"/>
      <c r="AIL1" s="231"/>
      <c r="AIM1" s="231"/>
      <c r="AIN1" s="231"/>
      <c r="AIO1" s="231"/>
      <c r="AIP1" s="231"/>
      <c r="AIQ1" s="231"/>
      <c r="AIR1" s="231"/>
      <c r="AIS1" s="231"/>
      <c r="AIT1" s="231"/>
      <c r="AIU1" s="231"/>
      <c r="AIV1" s="231"/>
      <c r="AIW1" s="231"/>
      <c r="AIX1" s="231"/>
      <c r="AIY1" s="231"/>
      <c r="AIZ1" s="231"/>
      <c r="AJA1" s="231"/>
      <c r="AJB1" s="231"/>
      <c r="AJC1" s="231"/>
      <c r="AJD1" s="231"/>
      <c r="AJE1" s="231"/>
      <c r="AJF1" s="231"/>
      <c r="AJG1" s="231"/>
      <c r="AJH1" s="231"/>
      <c r="AJI1" s="231"/>
      <c r="AJJ1" s="231"/>
      <c r="AJK1" s="231"/>
      <c r="AJL1" s="231"/>
      <c r="AJM1" s="231"/>
      <c r="AJN1" s="231"/>
      <c r="AJO1" s="231"/>
      <c r="AJP1" s="231"/>
      <c r="AJQ1" s="231"/>
      <c r="AJR1" s="231"/>
      <c r="AJS1" s="231"/>
      <c r="AJT1" s="231"/>
      <c r="AJU1" s="231"/>
      <c r="AJV1" s="231"/>
      <c r="AJW1" s="231"/>
      <c r="AJX1" s="231"/>
      <c r="AJY1" s="231"/>
      <c r="AJZ1" s="231"/>
      <c r="AKA1" s="231"/>
      <c r="AKB1" s="231"/>
      <c r="AKC1" s="231"/>
      <c r="AKD1" s="231"/>
      <c r="AKE1" s="231"/>
      <c r="AKF1" s="231"/>
      <c r="AKG1" s="231"/>
      <c r="AKH1" s="231"/>
      <c r="AKI1" s="231"/>
      <c r="AKJ1" s="231"/>
      <c r="AKK1" s="231"/>
      <c r="AKL1" s="231"/>
      <c r="AKM1" s="231"/>
      <c r="AKN1" s="231"/>
      <c r="AKO1" s="231"/>
      <c r="AKP1" s="231"/>
      <c r="AKQ1" s="231"/>
      <c r="AKR1" s="231"/>
      <c r="AKS1" s="231"/>
      <c r="AKT1" s="231"/>
      <c r="AKU1" s="231"/>
      <c r="AKV1" s="231"/>
      <c r="AKW1" s="231"/>
      <c r="AKX1" s="231"/>
      <c r="AKY1" s="231"/>
      <c r="AKZ1" s="231"/>
      <c r="ALA1" s="231"/>
      <c r="ALB1" s="231"/>
      <c r="ALC1" s="231"/>
      <c r="ALD1" s="231"/>
      <c r="ALE1" s="231"/>
      <c r="ALF1" s="231"/>
      <c r="ALG1" s="231"/>
      <c r="ALH1" s="231"/>
      <c r="ALI1" s="231"/>
      <c r="ALJ1" s="231"/>
      <c r="ALK1" s="231"/>
      <c r="ALL1" s="231"/>
      <c r="ALM1" s="231"/>
      <c r="ALN1" s="231"/>
      <c r="ALO1" s="231"/>
      <c r="ALP1" s="231"/>
      <c r="ALQ1" s="231"/>
      <c r="ALR1" s="231"/>
      <c r="ALS1" s="231"/>
      <c r="ALT1" s="231"/>
      <c r="ALU1" s="231"/>
      <c r="ALV1" s="231"/>
      <c r="ALW1" s="231"/>
      <c r="ALX1" s="231"/>
      <c r="ALY1" s="231"/>
      <c r="ALZ1" s="231"/>
      <c r="AMA1" s="231"/>
      <c r="AMB1" s="231"/>
      <c r="AMC1" s="231"/>
      <c r="AMD1" s="231"/>
      <c r="AME1" s="231"/>
      <c r="AMF1" s="231"/>
      <c r="AMG1" s="231"/>
      <c r="AMH1" s="231"/>
      <c r="AMI1" s="231"/>
      <c r="AMJ1" s="231"/>
      <c r="AMK1" s="231"/>
      <c r="AML1" s="231"/>
      <c r="AMM1" s="231"/>
      <c r="AMN1" s="231"/>
      <c r="AMO1" s="231"/>
      <c r="AMP1" s="231"/>
      <c r="AMQ1" s="231"/>
      <c r="AMR1" s="231"/>
      <c r="AMS1" s="231"/>
      <c r="AMT1" s="231"/>
      <c r="AMU1" s="231"/>
      <c r="AMV1" s="231"/>
      <c r="AMW1" s="231"/>
      <c r="AMX1" s="231"/>
      <c r="AMY1" s="231"/>
      <c r="AMZ1" s="231"/>
      <c r="ANA1" s="231"/>
      <c r="ANB1" s="231"/>
      <c r="ANC1" s="231"/>
      <c r="AND1" s="231"/>
      <c r="ANE1" s="231"/>
      <c r="ANF1" s="231"/>
      <c r="ANG1" s="231"/>
      <c r="ANH1" s="231"/>
      <c r="ANI1" s="231"/>
      <c r="ANJ1" s="231"/>
      <c r="ANK1" s="231"/>
      <c r="ANL1" s="231"/>
      <c r="ANM1" s="231"/>
      <c r="ANN1" s="231"/>
      <c r="ANO1" s="231"/>
      <c r="ANP1" s="231"/>
      <c r="ANQ1" s="231"/>
      <c r="ANR1" s="231"/>
      <c r="ANS1" s="231"/>
      <c r="ANT1" s="231"/>
      <c r="ANU1" s="231"/>
      <c r="ANV1" s="231"/>
      <c r="ANW1" s="231"/>
      <c r="ANX1" s="231"/>
      <c r="ANY1" s="231"/>
      <c r="ANZ1" s="231"/>
      <c r="AOA1" s="231"/>
      <c r="AOB1" s="231"/>
      <c r="AOC1" s="231"/>
      <c r="AOD1" s="231"/>
      <c r="AOE1" s="231"/>
      <c r="AOF1" s="231"/>
      <c r="AOG1" s="231"/>
      <c r="AOH1" s="231"/>
      <c r="AOI1" s="231"/>
      <c r="AOJ1" s="231"/>
      <c r="AOK1" s="231"/>
      <c r="AOL1" s="231"/>
      <c r="AOM1" s="231"/>
      <c r="AON1" s="231"/>
      <c r="AOO1" s="231"/>
      <c r="AOP1" s="231"/>
      <c r="AOQ1" s="231"/>
      <c r="AOR1" s="231"/>
      <c r="AOS1" s="231"/>
      <c r="AOT1" s="231"/>
      <c r="AOU1" s="231"/>
      <c r="AOV1" s="231"/>
      <c r="AOW1" s="231"/>
      <c r="AOX1" s="231"/>
      <c r="AOY1" s="231"/>
      <c r="AOZ1" s="231"/>
      <c r="APA1" s="231"/>
      <c r="APB1" s="231"/>
      <c r="APC1" s="231"/>
      <c r="APD1" s="231"/>
      <c r="APE1" s="231"/>
      <c r="APF1" s="231"/>
      <c r="APG1" s="231"/>
      <c r="APH1" s="231"/>
      <c r="API1" s="231"/>
      <c r="APJ1" s="231"/>
      <c r="APK1" s="231"/>
      <c r="APL1" s="231"/>
      <c r="APM1" s="231"/>
      <c r="APN1" s="231"/>
      <c r="APO1" s="231"/>
      <c r="APP1" s="231"/>
      <c r="APQ1" s="231"/>
      <c r="APR1" s="231"/>
      <c r="APS1" s="231"/>
      <c r="APT1" s="231"/>
      <c r="APU1" s="231"/>
      <c r="APV1" s="231"/>
      <c r="APW1" s="231"/>
      <c r="APX1" s="231"/>
      <c r="APY1" s="231"/>
      <c r="APZ1" s="231"/>
      <c r="AQA1" s="231"/>
      <c r="AQB1" s="231"/>
      <c r="AQC1" s="231"/>
      <c r="AQD1" s="231"/>
      <c r="AQE1" s="231"/>
      <c r="AQF1" s="231"/>
      <c r="AQG1" s="231"/>
      <c r="AQH1" s="231"/>
      <c r="AQI1" s="231"/>
      <c r="AQJ1" s="231"/>
      <c r="AQK1" s="231"/>
      <c r="AQL1" s="231"/>
      <c r="AQM1" s="231"/>
      <c r="AQN1" s="231"/>
      <c r="AQO1" s="231"/>
      <c r="AQP1" s="231"/>
      <c r="AQQ1" s="231"/>
      <c r="AQR1" s="231"/>
      <c r="AQS1" s="231"/>
      <c r="AQT1" s="231"/>
      <c r="AQU1" s="231"/>
      <c r="AQV1" s="231"/>
      <c r="AQW1" s="231"/>
      <c r="AQX1" s="231"/>
      <c r="AQY1" s="231"/>
      <c r="AQZ1" s="231"/>
      <c r="ARA1" s="231"/>
      <c r="ARB1" s="231"/>
      <c r="ARC1" s="231"/>
      <c r="ARD1" s="231"/>
      <c r="ARE1" s="231"/>
      <c r="ARF1" s="231"/>
      <c r="ARG1" s="231"/>
      <c r="ARH1" s="231"/>
      <c r="ARI1" s="231"/>
      <c r="ARJ1" s="231"/>
      <c r="ARK1" s="231"/>
      <c r="ARL1" s="231"/>
      <c r="ARM1" s="231"/>
      <c r="ARN1" s="231"/>
      <c r="ARO1" s="231"/>
      <c r="ARP1" s="231"/>
      <c r="ARQ1" s="231"/>
      <c r="ARR1" s="231"/>
      <c r="ARS1" s="231"/>
      <c r="ART1" s="231"/>
      <c r="ARU1" s="231"/>
      <c r="ARV1" s="231"/>
      <c r="ARW1" s="231"/>
      <c r="ARX1" s="231"/>
      <c r="ARY1" s="231"/>
      <c r="ARZ1" s="231"/>
      <c r="ASA1" s="231"/>
      <c r="ASB1" s="231"/>
      <c r="ASC1" s="231"/>
      <c r="ASD1" s="231"/>
      <c r="ASE1" s="231"/>
      <c r="ASF1" s="231"/>
      <c r="ASG1" s="231"/>
      <c r="ASH1" s="231"/>
      <c r="ASI1" s="231"/>
      <c r="ASJ1" s="231"/>
      <c r="ASK1" s="231"/>
      <c r="ASL1" s="231"/>
      <c r="ASM1" s="231"/>
      <c r="ASN1" s="231"/>
      <c r="ASO1" s="231"/>
      <c r="ASP1" s="231"/>
      <c r="ASQ1" s="231"/>
      <c r="ASR1" s="231"/>
      <c r="ASS1" s="231"/>
      <c r="AST1" s="231"/>
      <c r="ASU1" s="231"/>
      <c r="ASV1" s="231"/>
      <c r="ASW1" s="231"/>
      <c r="ASX1" s="231"/>
      <c r="ASY1" s="231"/>
      <c r="ASZ1" s="231"/>
      <c r="ATA1" s="231"/>
      <c r="ATB1" s="231"/>
      <c r="ATC1" s="231"/>
      <c r="ATD1" s="231"/>
      <c r="ATE1" s="231"/>
      <c r="ATF1" s="231"/>
      <c r="ATG1" s="231"/>
      <c r="ATH1" s="231"/>
      <c r="ATI1" s="231"/>
      <c r="ATJ1" s="231"/>
      <c r="ATK1" s="231"/>
      <c r="ATL1" s="231"/>
      <c r="ATM1" s="231"/>
      <c r="ATN1" s="231"/>
      <c r="ATO1" s="231"/>
      <c r="ATP1" s="231"/>
      <c r="ATQ1" s="231"/>
      <c r="ATR1" s="231"/>
      <c r="ATS1" s="231"/>
      <c r="ATT1" s="231"/>
      <c r="ATU1" s="231"/>
      <c r="ATV1" s="231"/>
      <c r="ATW1" s="231"/>
      <c r="ATX1" s="231"/>
      <c r="ATY1" s="231"/>
      <c r="ATZ1" s="231"/>
      <c r="AUA1" s="231"/>
      <c r="AUB1" s="231"/>
      <c r="AUC1" s="231"/>
      <c r="AUD1" s="231"/>
      <c r="AUE1" s="231"/>
      <c r="AUF1" s="231"/>
      <c r="AUG1" s="231"/>
      <c r="AUH1" s="231"/>
      <c r="AUI1" s="231"/>
      <c r="AUJ1" s="231"/>
      <c r="AUK1" s="231"/>
      <c r="AUL1" s="231"/>
      <c r="AUM1" s="231"/>
      <c r="AUN1" s="231"/>
      <c r="AUO1" s="231"/>
      <c r="AUP1" s="231"/>
      <c r="AUQ1" s="231"/>
      <c r="AUR1" s="231"/>
      <c r="AUS1" s="231"/>
      <c r="AUT1" s="231"/>
      <c r="AUU1" s="231"/>
      <c r="AUV1" s="231"/>
      <c r="AUW1" s="231"/>
      <c r="AUX1" s="231"/>
      <c r="AUY1" s="231"/>
      <c r="AUZ1" s="231"/>
      <c r="AVA1" s="231"/>
      <c r="AVB1" s="231"/>
      <c r="AVC1" s="231"/>
      <c r="AVD1" s="231"/>
      <c r="AVE1" s="231"/>
      <c r="AVF1" s="231"/>
      <c r="AVG1" s="231"/>
      <c r="AVH1" s="231"/>
      <c r="AVI1" s="231"/>
      <c r="AVJ1" s="231"/>
      <c r="AVK1" s="231"/>
      <c r="AVL1" s="231"/>
      <c r="AVM1" s="231"/>
      <c r="AVN1" s="231"/>
      <c r="AVO1" s="231"/>
      <c r="AVP1" s="231"/>
      <c r="AVQ1" s="231"/>
      <c r="AVR1" s="231"/>
      <c r="AVS1" s="231"/>
      <c r="AVT1" s="231"/>
      <c r="AVU1" s="231"/>
      <c r="AVV1" s="231"/>
      <c r="AVW1" s="231"/>
      <c r="AVX1" s="231"/>
      <c r="AVY1" s="231"/>
      <c r="AVZ1" s="231"/>
      <c r="AWA1" s="231"/>
      <c r="AWB1" s="231"/>
      <c r="AWC1" s="231"/>
      <c r="AWD1" s="231"/>
      <c r="AWE1" s="231"/>
      <c r="AWF1" s="231"/>
      <c r="AWG1" s="231"/>
      <c r="AWH1" s="231"/>
      <c r="AWI1" s="231"/>
      <c r="AWJ1" s="231"/>
      <c r="AWK1" s="231"/>
      <c r="AWL1" s="231"/>
      <c r="AWM1" s="231"/>
      <c r="AWN1" s="231"/>
      <c r="AWO1" s="231"/>
      <c r="AWP1" s="231"/>
      <c r="AWQ1" s="231"/>
      <c r="AWR1" s="231"/>
      <c r="AWS1" s="231"/>
      <c r="AWT1" s="231"/>
      <c r="AWU1" s="231"/>
      <c r="AWV1" s="231"/>
      <c r="AWW1" s="231"/>
      <c r="AWX1" s="231"/>
      <c r="AWY1" s="231"/>
      <c r="AWZ1" s="231"/>
      <c r="AXA1" s="231"/>
      <c r="AXB1" s="231"/>
      <c r="AXC1" s="231"/>
      <c r="AXD1" s="231"/>
      <c r="AXE1" s="231"/>
      <c r="AXF1" s="231"/>
      <c r="AXG1" s="231"/>
      <c r="AXH1" s="231"/>
      <c r="AXI1" s="231"/>
      <c r="AXJ1" s="231"/>
      <c r="AXK1" s="231"/>
      <c r="AXL1" s="231"/>
      <c r="AXM1" s="231"/>
      <c r="AXN1" s="231"/>
      <c r="AXO1" s="231"/>
      <c r="AXP1" s="231"/>
      <c r="AXQ1" s="231"/>
      <c r="AXR1" s="231"/>
      <c r="AXS1" s="231"/>
      <c r="AXT1" s="231"/>
      <c r="AXU1" s="231"/>
      <c r="AXV1" s="231"/>
      <c r="AXW1" s="231"/>
      <c r="AXX1" s="231"/>
      <c r="AXY1" s="231"/>
      <c r="AXZ1" s="231"/>
      <c r="AYA1" s="231"/>
      <c r="AYB1" s="231"/>
      <c r="AYC1" s="231"/>
      <c r="AYD1" s="231"/>
      <c r="AYE1" s="231"/>
      <c r="AYF1" s="231"/>
      <c r="AYG1" s="231"/>
      <c r="AYH1" s="231"/>
      <c r="AYI1" s="231"/>
      <c r="AYJ1" s="231"/>
      <c r="AYK1" s="231"/>
      <c r="AYL1" s="231"/>
      <c r="AYM1" s="231"/>
      <c r="AYN1" s="231"/>
      <c r="AYO1" s="231"/>
      <c r="AYP1" s="231"/>
      <c r="AYQ1" s="231"/>
      <c r="AYR1" s="231"/>
      <c r="AYS1" s="231"/>
      <c r="AYT1" s="231"/>
      <c r="AYU1" s="231"/>
      <c r="AYV1" s="231"/>
      <c r="AYW1" s="231"/>
      <c r="AYX1" s="231"/>
      <c r="AYY1" s="231"/>
      <c r="AYZ1" s="231"/>
      <c r="AZA1" s="231"/>
      <c r="AZB1" s="231"/>
      <c r="AZC1" s="231"/>
      <c r="AZD1" s="231"/>
      <c r="AZE1" s="231"/>
      <c r="AZF1" s="231"/>
      <c r="AZG1" s="231"/>
      <c r="AZH1" s="231"/>
      <c r="AZI1" s="231"/>
      <c r="AZJ1" s="231"/>
      <c r="AZK1" s="231"/>
      <c r="AZL1" s="231"/>
      <c r="AZM1" s="231"/>
      <c r="AZN1" s="231"/>
      <c r="AZO1" s="231"/>
      <c r="AZP1" s="231"/>
      <c r="AZQ1" s="231"/>
      <c r="AZR1" s="231"/>
      <c r="AZS1" s="231"/>
      <c r="AZT1" s="231"/>
      <c r="AZU1" s="231"/>
      <c r="AZV1" s="231"/>
      <c r="AZW1" s="231"/>
      <c r="AZX1" s="231"/>
      <c r="AZY1" s="231"/>
      <c r="AZZ1" s="231"/>
      <c r="BAA1" s="231"/>
      <c r="BAB1" s="231"/>
      <c r="BAC1" s="231"/>
      <c r="BAD1" s="231"/>
      <c r="BAE1" s="231"/>
      <c r="BAF1" s="231"/>
      <c r="BAG1" s="231"/>
      <c r="BAH1" s="231"/>
      <c r="BAI1" s="231"/>
      <c r="BAJ1" s="231"/>
      <c r="BAK1" s="231"/>
      <c r="BAL1" s="231"/>
      <c r="BAM1" s="231"/>
      <c r="BAN1" s="231"/>
      <c r="BAO1" s="231"/>
      <c r="BAP1" s="231"/>
      <c r="BAQ1" s="231"/>
      <c r="BAR1" s="231"/>
      <c r="BAS1" s="231"/>
      <c r="BAT1" s="231"/>
      <c r="BAU1" s="231"/>
      <c r="BAV1" s="231"/>
      <c r="BAW1" s="231"/>
      <c r="BAX1" s="231"/>
      <c r="BAY1" s="231"/>
      <c r="BAZ1" s="231"/>
      <c r="BBA1" s="231"/>
      <c r="BBB1" s="231"/>
      <c r="BBC1" s="231"/>
      <c r="BBD1" s="231"/>
      <c r="BBE1" s="231"/>
      <c r="BBF1" s="231"/>
      <c r="BBG1" s="231"/>
      <c r="BBH1" s="231"/>
      <c r="BBI1" s="231"/>
      <c r="BBJ1" s="231"/>
      <c r="BBK1" s="231"/>
      <c r="BBL1" s="231"/>
      <c r="BBM1" s="231"/>
      <c r="BBN1" s="231"/>
      <c r="BBO1" s="231"/>
      <c r="BBP1" s="231"/>
      <c r="BBQ1" s="231"/>
      <c r="BBR1" s="231"/>
      <c r="BBS1" s="231"/>
      <c r="BBT1" s="231"/>
      <c r="BBU1" s="231"/>
      <c r="BBV1" s="231"/>
      <c r="BBW1" s="231"/>
      <c r="BBX1" s="231"/>
      <c r="BBY1" s="231"/>
      <c r="BBZ1" s="231"/>
      <c r="BCA1" s="231"/>
      <c r="BCB1" s="231"/>
      <c r="BCC1" s="231"/>
      <c r="BCD1" s="231"/>
      <c r="BCE1" s="231"/>
      <c r="BCF1" s="231"/>
      <c r="BCG1" s="231"/>
      <c r="BCH1" s="231"/>
      <c r="BCI1" s="231"/>
      <c r="BCJ1" s="231"/>
      <c r="BCK1" s="231"/>
      <c r="BCL1" s="231"/>
      <c r="BCM1" s="231"/>
      <c r="BCN1" s="231"/>
      <c r="BCO1" s="231"/>
      <c r="BCP1" s="231"/>
      <c r="BCQ1" s="231"/>
      <c r="BCR1" s="231"/>
      <c r="BCS1" s="231"/>
      <c r="BCT1" s="231"/>
      <c r="BCU1" s="231"/>
      <c r="BCV1" s="231"/>
      <c r="BCW1" s="231"/>
      <c r="BCX1" s="231"/>
      <c r="BCY1" s="231"/>
      <c r="BCZ1" s="231"/>
      <c r="BDA1" s="231"/>
      <c r="BDB1" s="231"/>
      <c r="BDC1" s="231"/>
      <c r="BDD1" s="231"/>
      <c r="BDE1" s="231"/>
      <c r="BDF1" s="231"/>
      <c r="BDG1" s="231"/>
      <c r="BDH1" s="231"/>
      <c r="BDI1" s="231"/>
      <c r="BDJ1" s="231"/>
      <c r="BDK1" s="231"/>
      <c r="BDL1" s="231"/>
      <c r="BDM1" s="231"/>
      <c r="BDN1" s="231"/>
      <c r="BDO1" s="231"/>
      <c r="BDP1" s="231"/>
      <c r="BDQ1" s="231"/>
      <c r="BDR1" s="231"/>
      <c r="BDS1" s="231"/>
      <c r="BDT1" s="231"/>
      <c r="BDU1" s="231"/>
      <c r="BDV1" s="231"/>
      <c r="BDW1" s="231"/>
      <c r="BDX1" s="231"/>
      <c r="BDY1" s="231"/>
      <c r="BDZ1" s="231"/>
      <c r="BEA1" s="231"/>
      <c r="BEB1" s="231"/>
      <c r="BEC1" s="231"/>
      <c r="BED1" s="231"/>
      <c r="BEE1" s="231"/>
      <c r="BEF1" s="231"/>
      <c r="BEG1" s="231"/>
      <c r="BEH1" s="231"/>
      <c r="BEI1" s="231"/>
      <c r="BEJ1" s="231"/>
      <c r="BEK1" s="231"/>
      <c r="BEL1" s="231"/>
      <c r="BEM1" s="231"/>
      <c r="BEN1" s="231"/>
      <c r="BEO1" s="231"/>
      <c r="BEP1" s="231"/>
      <c r="BEQ1" s="231"/>
      <c r="BER1" s="231"/>
      <c r="BES1" s="231"/>
      <c r="BET1" s="231"/>
      <c r="BEU1" s="231"/>
      <c r="BEV1" s="231"/>
      <c r="BEW1" s="231"/>
      <c r="BEX1" s="231"/>
      <c r="BEY1" s="231"/>
      <c r="BEZ1" s="231"/>
      <c r="BFA1" s="231"/>
      <c r="BFB1" s="231"/>
      <c r="BFC1" s="231"/>
      <c r="BFD1" s="231"/>
      <c r="BFE1" s="231"/>
      <c r="BFF1" s="231"/>
      <c r="BFG1" s="231"/>
      <c r="BFH1" s="231"/>
      <c r="BFI1" s="231"/>
      <c r="BFJ1" s="231"/>
      <c r="BFK1" s="231"/>
      <c r="BFL1" s="231"/>
      <c r="BFM1" s="231"/>
      <c r="BFN1" s="231"/>
      <c r="BFO1" s="231"/>
      <c r="BFP1" s="231"/>
      <c r="BFQ1" s="231"/>
      <c r="BFR1" s="231"/>
      <c r="BFS1" s="231"/>
      <c r="BFT1" s="231"/>
      <c r="BFU1" s="231"/>
      <c r="BFV1" s="231"/>
      <c r="BFW1" s="231"/>
      <c r="BFX1" s="231"/>
      <c r="BFY1" s="231"/>
      <c r="BFZ1" s="231"/>
      <c r="BGA1" s="231"/>
      <c r="BGB1" s="231"/>
      <c r="BGC1" s="231"/>
      <c r="BGD1" s="231"/>
      <c r="BGE1" s="231"/>
      <c r="BGF1" s="231"/>
      <c r="BGG1" s="231"/>
      <c r="BGH1" s="231"/>
      <c r="BGI1" s="231"/>
      <c r="BGJ1" s="231"/>
      <c r="BGK1" s="231"/>
      <c r="BGL1" s="231"/>
      <c r="BGM1" s="231"/>
      <c r="BGN1" s="231"/>
      <c r="BGO1" s="231"/>
      <c r="BGP1" s="231"/>
      <c r="BGQ1" s="231"/>
      <c r="BGR1" s="231"/>
      <c r="BGS1" s="231"/>
      <c r="BGT1" s="231"/>
      <c r="BGU1" s="231"/>
      <c r="BGV1" s="231"/>
      <c r="BGW1" s="231"/>
      <c r="BGX1" s="231"/>
      <c r="BGY1" s="231"/>
      <c r="BGZ1" s="231"/>
      <c r="BHA1" s="231"/>
      <c r="BHB1" s="231"/>
      <c r="BHC1" s="231"/>
      <c r="BHD1" s="231"/>
      <c r="BHE1" s="231"/>
      <c r="BHF1" s="231"/>
      <c r="BHG1" s="231"/>
      <c r="BHH1" s="231"/>
      <c r="BHI1" s="231"/>
      <c r="BHJ1" s="231"/>
      <c r="BHK1" s="231"/>
      <c r="BHL1" s="231"/>
      <c r="BHM1" s="231"/>
      <c r="BHN1" s="231"/>
      <c r="BHO1" s="231"/>
      <c r="BHP1" s="231"/>
      <c r="BHQ1" s="231"/>
      <c r="BHR1" s="231"/>
      <c r="BHS1" s="231"/>
      <c r="BHT1" s="231"/>
      <c r="BHU1" s="231"/>
      <c r="BHV1" s="231"/>
      <c r="BHW1" s="231"/>
      <c r="BHX1" s="231"/>
      <c r="BHY1" s="231"/>
      <c r="BHZ1" s="231"/>
      <c r="BIA1" s="231"/>
      <c r="BIB1" s="231"/>
      <c r="BIC1" s="231"/>
      <c r="BID1" s="231"/>
      <c r="BIE1" s="231"/>
      <c r="BIF1" s="231"/>
      <c r="BIG1" s="231"/>
      <c r="BIH1" s="231"/>
      <c r="BII1" s="231"/>
      <c r="BIJ1" s="231"/>
      <c r="BIK1" s="231"/>
      <c r="BIL1" s="231"/>
      <c r="BIM1" s="231"/>
      <c r="BIN1" s="231"/>
      <c r="BIO1" s="231"/>
      <c r="BIP1" s="231"/>
      <c r="BIQ1" s="231"/>
      <c r="BIR1" s="231"/>
      <c r="BIS1" s="231"/>
      <c r="BIT1" s="231"/>
      <c r="BIU1" s="231"/>
      <c r="BIV1" s="231"/>
      <c r="BIW1" s="231"/>
      <c r="BIX1" s="231"/>
      <c r="BIY1" s="231"/>
      <c r="BIZ1" s="231"/>
      <c r="BJA1" s="231"/>
      <c r="BJB1" s="231"/>
      <c r="BJC1" s="231"/>
      <c r="BJD1" s="231"/>
      <c r="BJE1" s="231"/>
      <c r="BJF1" s="231"/>
      <c r="BJG1" s="231"/>
      <c r="BJH1" s="231"/>
      <c r="BJI1" s="231"/>
      <c r="BJJ1" s="231"/>
      <c r="BJK1" s="231"/>
      <c r="BJL1" s="231"/>
      <c r="BJM1" s="231"/>
      <c r="BJN1" s="231"/>
      <c r="BJO1" s="231"/>
      <c r="BJP1" s="231"/>
      <c r="BJQ1" s="231"/>
      <c r="BJR1" s="231"/>
      <c r="BJS1" s="231"/>
      <c r="BJT1" s="231"/>
      <c r="BJU1" s="231"/>
      <c r="BJV1" s="231"/>
      <c r="BJW1" s="231"/>
      <c r="BJX1" s="231"/>
      <c r="BJY1" s="231"/>
      <c r="BJZ1" s="231"/>
      <c r="BKA1" s="231"/>
      <c r="BKB1" s="231"/>
      <c r="BKC1" s="231"/>
      <c r="BKD1" s="231"/>
      <c r="BKE1" s="231"/>
      <c r="BKF1" s="231"/>
      <c r="BKG1" s="231"/>
      <c r="BKH1" s="231"/>
      <c r="BKI1" s="231"/>
      <c r="BKJ1" s="231"/>
      <c r="BKK1" s="231"/>
      <c r="BKL1" s="231"/>
      <c r="BKM1" s="231"/>
      <c r="BKN1" s="231"/>
      <c r="BKO1" s="231"/>
      <c r="BKP1" s="231"/>
      <c r="BKQ1" s="231"/>
      <c r="BKR1" s="231"/>
      <c r="BKS1" s="231"/>
      <c r="BKT1" s="231"/>
      <c r="BKU1" s="231"/>
      <c r="BKV1" s="231"/>
      <c r="BKW1" s="231"/>
      <c r="BKX1" s="231"/>
      <c r="BKY1" s="231"/>
      <c r="BKZ1" s="231"/>
      <c r="BLA1" s="231"/>
      <c r="BLB1" s="231"/>
      <c r="BLC1" s="231"/>
      <c r="BLD1" s="231"/>
      <c r="BLE1" s="231"/>
      <c r="BLF1" s="231"/>
      <c r="BLG1" s="231"/>
      <c r="BLH1" s="231"/>
      <c r="BLI1" s="231"/>
      <c r="BLJ1" s="231"/>
      <c r="BLK1" s="231"/>
      <c r="BLL1" s="231"/>
      <c r="BLM1" s="231"/>
      <c r="BLN1" s="231"/>
      <c r="BLO1" s="231"/>
      <c r="BLP1" s="231"/>
      <c r="BLQ1" s="231"/>
      <c r="BLR1" s="231"/>
      <c r="BLS1" s="231"/>
      <c r="BLT1" s="231"/>
      <c r="BLU1" s="231"/>
      <c r="BLV1" s="231"/>
      <c r="BLW1" s="231"/>
      <c r="BLX1" s="231"/>
      <c r="BLY1" s="231"/>
      <c r="BLZ1" s="231"/>
      <c r="BMA1" s="231"/>
      <c r="BMB1" s="231"/>
      <c r="BMC1" s="231"/>
      <c r="BMD1" s="231"/>
      <c r="BME1" s="231"/>
      <c r="BMF1" s="231"/>
      <c r="BMG1" s="231"/>
      <c r="BMH1" s="231"/>
      <c r="BMI1" s="231"/>
      <c r="BMJ1" s="231"/>
      <c r="BMK1" s="231"/>
      <c r="BML1" s="231"/>
      <c r="BMM1" s="231"/>
      <c r="BMN1" s="231"/>
      <c r="BMO1" s="231"/>
      <c r="BMP1" s="231"/>
      <c r="BMQ1" s="231"/>
      <c r="BMR1" s="231"/>
      <c r="BMS1" s="231"/>
      <c r="BMT1" s="231"/>
      <c r="BMU1" s="231"/>
      <c r="BMV1" s="231"/>
      <c r="BMW1" s="231"/>
      <c r="BMX1" s="231"/>
      <c r="BMY1" s="231"/>
      <c r="BMZ1" s="231"/>
      <c r="BNA1" s="231"/>
      <c r="BNB1" s="231"/>
      <c r="BNC1" s="231"/>
      <c r="BND1" s="231"/>
      <c r="BNE1" s="231"/>
      <c r="BNF1" s="231"/>
      <c r="BNG1" s="231"/>
      <c r="BNH1" s="231"/>
      <c r="BNI1" s="231"/>
      <c r="BNJ1" s="231"/>
      <c r="BNK1" s="231"/>
      <c r="BNL1" s="231"/>
      <c r="BNM1" s="231"/>
      <c r="BNN1" s="231"/>
      <c r="BNO1" s="231"/>
      <c r="BNP1" s="231"/>
      <c r="BNQ1" s="231"/>
      <c r="BNR1" s="231"/>
      <c r="BNS1" s="231"/>
      <c r="BNT1" s="231"/>
      <c r="BNU1" s="231"/>
      <c r="BNV1" s="231"/>
      <c r="BNW1" s="231"/>
      <c r="BNX1" s="231"/>
      <c r="BNY1" s="231"/>
      <c r="BNZ1" s="231"/>
      <c r="BOA1" s="231"/>
      <c r="BOB1" s="231"/>
      <c r="BOC1" s="231"/>
      <c r="BOD1" s="231"/>
      <c r="BOE1" s="231"/>
      <c r="BOF1" s="231"/>
      <c r="BOG1" s="231"/>
      <c r="BOH1" s="231"/>
      <c r="BOI1" s="231"/>
      <c r="BOJ1" s="231"/>
      <c r="BOK1" s="231"/>
      <c r="BOL1" s="231"/>
      <c r="BOM1" s="231"/>
      <c r="BON1" s="231"/>
      <c r="BOO1" s="231"/>
      <c r="BOP1" s="231"/>
      <c r="BOQ1" s="231"/>
      <c r="BOR1" s="231"/>
      <c r="BOS1" s="231"/>
      <c r="BOT1" s="231"/>
      <c r="BOU1" s="231"/>
      <c r="BOV1" s="231"/>
      <c r="BOW1" s="231"/>
      <c r="BOX1" s="231"/>
      <c r="BOY1" s="231"/>
      <c r="BOZ1" s="231"/>
      <c r="BPA1" s="231"/>
      <c r="BPB1" s="231"/>
      <c r="BPC1" s="231"/>
      <c r="BPD1" s="231"/>
      <c r="BPE1" s="231"/>
      <c r="BPF1" s="231"/>
      <c r="BPG1" s="231"/>
      <c r="BPH1" s="231"/>
      <c r="BPI1" s="231"/>
      <c r="BPJ1" s="231"/>
      <c r="BPK1" s="231"/>
      <c r="BPL1" s="231"/>
      <c r="BPM1" s="231"/>
      <c r="BPN1" s="231"/>
      <c r="BPO1" s="231"/>
      <c r="BPP1" s="231"/>
      <c r="BPQ1" s="231"/>
      <c r="BPR1" s="231"/>
      <c r="BPS1" s="231"/>
      <c r="BPT1" s="231"/>
      <c r="BPU1" s="231"/>
      <c r="BPV1" s="231"/>
      <c r="BPW1" s="231"/>
      <c r="BPX1" s="231"/>
      <c r="BPY1" s="231"/>
      <c r="BPZ1" s="231"/>
      <c r="BQA1" s="231"/>
      <c r="BQB1" s="231"/>
      <c r="BQC1" s="231"/>
      <c r="BQD1" s="231"/>
      <c r="BQE1" s="231"/>
      <c r="BQF1" s="231"/>
      <c r="BQG1" s="231"/>
      <c r="BQH1" s="231"/>
      <c r="BQI1" s="231"/>
      <c r="BQJ1" s="231"/>
      <c r="BQK1" s="231"/>
      <c r="BQL1" s="231"/>
      <c r="BQM1" s="231"/>
      <c r="BQN1" s="231"/>
      <c r="BQO1" s="231"/>
      <c r="BQP1" s="231"/>
      <c r="BQQ1" s="231"/>
      <c r="BQR1" s="231"/>
      <c r="BQS1" s="231"/>
      <c r="BQT1" s="231"/>
      <c r="BQU1" s="231"/>
      <c r="BQV1" s="231"/>
      <c r="BQW1" s="231"/>
      <c r="BQX1" s="231"/>
      <c r="BQY1" s="231"/>
      <c r="BQZ1" s="231"/>
      <c r="BRA1" s="231"/>
      <c r="BRB1" s="231"/>
      <c r="BRC1" s="231"/>
      <c r="BRD1" s="231"/>
      <c r="BRE1" s="231"/>
      <c r="BRF1" s="231"/>
      <c r="BRG1" s="231"/>
      <c r="BRH1" s="231"/>
      <c r="BRI1" s="231"/>
      <c r="BRJ1" s="231"/>
      <c r="BRK1" s="231"/>
      <c r="BRL1" s="231"/>
      <c r="BRM1" s="231"/>
      <c r="BRN1" s="231"/>
      <c r="BRO1" s="231"/>
      <c r="BRP1" s="231"/>
      <c r="BRQ1" s="231"/>
      <c r="BRR1" s="231"/>
      <c r="BRS1" s="231"/>
      <c r="BRT1" s="231"/>
      <c r="BRU1" s="231"/>
      <c r="BRV1" s="231"/>
      <c r="BRW1" s="231"/>
      <c r="BRX1" s="231"/>
      <c r="BRY1" s="231"/>
      <c r="BRZ1" s="231"/>
      <c r="BSA1" s="231"/>
      <c r="BSB1" s="231"/>
      <c r="BSC1" s="231"/>
      <c r="BSD1" s="231"/>
      <c r="BSE1" s="231"/>
      <c r="BSF1" s="231"/>
      <c r="BSG1" s="231"/>
      <c r="BSH1" s="231"/>
      <c r="BSI1" s="231"/>
      <c r="BSJ1" s="231"/>
      <c r="BSK1" s="231"/>
      <c r="BSL1" s="231"/>
      <c r="BSM1" s="231"/>
      <c r="BSN1" s="231"/>
      <c r="BSO1" s="231"/>
      <c r="BSP1" s="231"/>
      <c r="BSQ1" s="231"/>
      <c r="BSR1" s="231"/>
      <c r="BSS1" s="231"/>
      <c r="BST1" s="231"/>
      <c r="BSU1" s="231"/>
      <c r="BSV1" s="231"/>
      <c r="BSW1" s="231"/>
      <c r="BSX1" s="231"/>
      <c r="BSY1" s="231"/>
      <c r="BSZ1" s="231"/>
      <c r="BTA1" s="231"/>
      <c r="BTB1" s="231"/>
      <c r="BTC1" s="231"/>
      <c r="BTD1" s="231"/>
      <c r="BTE1" s="231"/>
      <c r="BTF1" s="231"/>
      <c r="BTG1" s="231"/>
      <c r="BTH1" s="231"/>
      <c r="BTI1" s="231"/>
      <c r="BTJ1" s="231"/>
      <c r="BTK1" s="231"/>
      <c r="BTL1" s="231"/>
      <c r="BTM1" s="231"/>
      <c r="BTN1" s="231"/>
      <c r="BTO1" s="231"/>
      <c r="BTP1" s="231"/>
      <c r="BTQ1" s="231"/>
      <c r="BTR1" s="231"/>
      <c r="BTS1" s="231"/>
      <c r="BTT1" s="231"/>
      <c r="BTU1" s="231"/>
      <c r="BTV1" s="231"/>
      <c r="BTW1" s="231"/>
      <c r="BTX1" s="231"/>
      <c r="BTY1" s="231"/>
      <c r="BTZ1" s="231"/>
      <c r="BUA1" s="231"/>
      <c r="BUB1" s="231"/>
      <c r="BUC1" s="231"/>
      <c r="BUD1" s="231"/>
      <c r="BUE1" s="231"/>
      <c r="BUF1" s="231"/>
      <c r="BUG1" s="231"/>
      <c r="BUH1" s="231"/>
      <c r="BUI1" s="231"/>
      <c r="BUJ1" s="231"/>
      <c r="BUK1" s="231"/>
      <c r="BUL1" s="231"/>
      <c r="BUM1" s="231"/>
      <c r="BUN1" s="231"/>
      <c r="BUO1" s="231"/>
      <c r="BUP1" s="231"/>
      <c r="BUQ1" s="231"/>
      <c r="BUR1" s="231"/>
      <c r="BUS1" s="231"/>
      <c r="BUT1" s="231"/>
      <c r="BUU1" s="231"/>
      <c r="BUV1" s="231"/>
      <c r="BUW1" s="231"/>
      <c r="BUX1" s="231"/>
      <c r="BUY1" s="231"/>
      <c r="BUZ1" s="231"/>
      <c r="BVA1" s="231"/>
      <c r="BVB1" s="231"/>
      <c r="BVC1" s="231"/>
      <c r="BVD1" s="231"/>
      <c r="BVE1" s="231"/>
      <c r="BVF1" s="231"/>
      <c r="BVG1" s="231"/>
      <c r="BVH1" s="231"/>
      <c r="BVI1" s="231"/>
      <c r="BVJ1" s="231"/>
      <c r="BVK1" s="231"/>
      <c r="BVL1" s="231"/>
      <c r="BVM1" s="231"/>
      <c r="BVN1" s="231"/>
      <c r="BVO1" s="231"/>
      <c r="BVP1" s="231"/>
      <c r="BVQ1" s="231"/>
      <c r="BVR1" s="231"/>
      <c r="BVS1" s="231"/>
      <c r="BVT1" s="231"/>
      <c r="BVU1" s="231"/>
      <c r="BVV1" s="231"/>
      <c r="BVW1" s="231"/>
      <c r="BVX1" s="231"/>
      <c r="BVY1" s="231"/>
      <c r="BVZ1" s="231"/>
      <c r="BWA1" s="231"/>
      <c r="BWB1" s="231"/>
      <c r="BWC1" s="231"/>
      <c r="BWD1" s="231"/>
      <c r="BWE1" s="231"/>
      <c r="BWF1" s="231"/>
      <c r="BWG1" s="231"/>
      <c r="BWH1" s="231"/>
      <c r="BWI1" s="231"/>
      <c r="BWJ1" s="231"/>
      <c r="BWK1" s="231"/>
      <c r="BWL1" s="231"/>
      <c r="BWM1" s="231"/>
      <c r="BWN1" s="231"/>
      <c r="BWO1" s="231"/>
      <c r="BWP1" s="231"/>
      <c r="BWQ1" s="231"/>
      <c r="BWR1" s="231"/>
      <c r="BWS1" s="231"/>
      <c r="BWT1" s="231"/>
      <c r="BWU1" s="231"/>
      <c r="BWV1" s="231"/>
      <c r="BWW1" s="231"/>
      <c r="BWX1" s="231"/>
      <c r="BWY1" s="231"/>
      <c r="BWZ1" s="231"/>
      <c r="BXA1" s="231"/>
      <c r="BXB1" s="231"/>
      <c r="BXC1" s="231"/>
      <c r="BXD1" s="231"/>
      <c r="BXE1" s="231"/>
      <c r="BXF1" s="231"/>
      <c r="BXG1" s="231"/>
      <c r="BXH1" s="231"/>
      <c r="BXI1" s="231"/>
      <c r="BXJ1" s="231"/>
      <c r="BXK1" s="231"/>
      <c r="BXL1" s="231"/>
      <c r="BXM1" s="231"/>
      <c r="BXN1" s="231"/>
      <c r="BXO1" s="231"/>
      <c r="BXP1" s="231"/>
      <c r="BXQ1" s="231"/>
      <c r="BXR1" s="231"/>
      <c r="BXS1" s="231"/>
      <c r="BXT1" s="231"/>
      <c r="BXU1" s="231"/>
      <c r="BXV1" s="231"/>
      <c r="BXW1" s="231"/>
      <c r="BXX1" s="231"/>
      <c r="BXY1" s="231"/>
      <c r="BXZ1" s="231"/>
      <c r="BYA1" s="231"/>
      <c r="BYB1" s="231"/>
      <c r="BYC1" s="231"/>
      <c r="BYD1" s="231"/>
      <c r="BYE1" s="231"/>
      <c r="BYF1" s="231"/>
      <c r="BYG1" s="231"/>
      <c r="BYH1" s="231"/>
      <c r="BYI1" s="231"/>
      <c r="BYJ1" s="231"/>
      <c r="BYK1" s="231"/>
      <c r="BYL1" s="231"/>
      <c r="BYM1" s="231"/>
      <c r="BYN1" s="231"/>
      <c r="BYO1" s="231"/>
      <c r="BYP1" s="231"/>
      <c r="BYQ1" s="231"/>
      <c r="BYR1" s="231"/>
      <c r="BYS1" s="231"/>
      <c r="BYT1" s="231"/>
      <c r="BYU1" s="231"/>
      <c r="BYV1" s="231"/>
      <c r="BYW1" s="231"/>
      <c r="BYX1" s="231"/>
      <c r="BYY1" s="231"/>
      <c r="BYZ1" s="231"/>
      <c r="BZA1" s="231"/>
      <c r="BZB1" s="231"/>
      <c r="BZC1" s="231"/>
      <c r="BZD1" s="231"/>
      <c r="BZE1" s="231"/>
      <c r="BZF1" s="231"/>
      <c r="BZG1" s="231"/>
      <c r="BZH1" s="231"/>
      <c r="BZI1" s="231"/>
      <c r="BZJ1" s="231"/>
      <c r="BZK1" s="231"/>
      <c r="BZL1" s="231"/>
      <c r="BZM1" s="231"/>
      <c r="BZN1" s="231"/>
      <c r="BZO1" s="231"/>
      <c r="BZP1" s="231"/>
      <c r="BZQ1" s="231"/>
      <c r="BZR1" s="231"/>
      <c r="BZS1" s="231"/>
      <c r="BZT1" s="231"/>
      <c r="BZU1" s="231"/>
      <c r="BZV1" s="231"/>
      <c r="BZW1" s="231"/>
      <c r="BZX1" s="231"/>
      <c r="BZY1" s="231"/>
      <c r="BZZ1" s="231"/>
      <c r="CAA1" s="231"/>
      <c r="CAB1" s="231"/>
      <c r="CAC1" s="231"/>
      <c r="CAD1" s="231"/>
      <c r="CAE1" s="231"/>
      <c r="CAF1" s="231"/>
      <c r="CAG1" s="231"/>
      <c r="CAH1" s="231"/>
      <c r="CAI1" s="231"/>
      <c r="CAJ1" s="231"/>
      <c r="CAK1" s="231"/>
      <c r="CAL1" s="231"/>
      <c r="CAM1" s="231"/>
      <c r="CAN1" s="231"/>
      <c r="CAO1" s="231"/>
      <c r="CAP1" s="231"/>
      <c r="CAQ1" s="231"/>
      <c r="CAR1" s="231"/>
      <c r="CAS1" s="231"/>
      <c r="CAT1" s="231"/>
      <c r="CAU1" s="231"/>
      <c r="CAV1" s="231"/>
      <c r="CAW1" s="231"/>
      <c r="CAX1" s="231"/>
      <c r="CAY1" s="231"/>
      <c r="CAZ1" s="231"/>
      <c r="CBA1" s="231"/>
      <c r="CBB1" s="231"/>
      <c r="CBC1" s="231"/>
      <c r="CBD1" s="231"/>
      <c r="CBE1" s="231"/>
      <c r="CBF1" s="231"/>
      <c r="CBG1" s="231"/>
      <c r="CBH1" s="231"/>
      <c r="CBI1" s="231"/>
      <c r="CBJ1" s="231"/>
      <c r="CBK1" s="231"/>
      <c r="CBL1" s="231"/>
      <c r="CBM1" s="231"/>
      <c r="CBN1" s="231"/>
      <c r="CBO1" s="231"/>
      <c r="CBP1" s="231"/>
      <c r="CBQ1" s="231"/>
      <c r="CBR1" s="231"/>
      <c r="CBS1" s="231"/>
      <c r="CBT1" s="231"/>
      <c r="CBU1" s="231"/>
      <c r="CBV1" s="231"/>
      <c r="CBW1" s="231"/>
      <c r="CBX1" s="231"/>
      <c r="CBY1" s="231"/>
      <c r="CBZ1" s="231"/>
      <c r="CCA1" s="231"/>
      <c r="CCB1" s="231"/>
      <c r="CCC1" s="231"/>
      <c r="CCD1" s="231"/>
      <c r="CCE1" s="231"/>
      <c r="CCF1" s="231"/>
      <c r="CCG1" s="231"/>
      <c r="CCH1" s="231"/>
      <c r="CCI1" s="231"/>
      <c r="CCJ1" s="231"/>
      <c r="CCK1" s="231"/>
      <c r="CCL1" s="231"/>
      <c r="CCM1" s="231"/>
      <c r="CCN1" s="231"/>
      <c r="CCO1" s="231"/>
      <c r="CCP1" s="231"/>
      <c r="CCQ1" s="231"/>
      <c r="CCR1" s="231"/>
      <c r="CCS1" s="231"/>
      <c r="CCT1" s="231"/>
      <c r="CCU1" s="231"/>
      <c r="CCV1" s="231"/>
      <c r="CCW1" s="231"/>
      <c r="CCX1" s="231"/>
      <c r="CCY1" s="231"/>
      <c r="CCZ1" s="231"/>
      <c r="CDA1" s="231"/>
      <c r="CDB1" s="231"/>
      <c r="CDC1" s="231"/>
      <c r="CDD1" s="231"/>
      <c r="CDE1" s="231"/>
      <c r="CDF1" s="231"/>
      <c r="CDG1" s="231"/>
      <c r="CDH1" s="231"/>
      <c r="CDI1" s="231"/>
      <c r="CDJ1" s="231"/>
      <c r="CDK1" s="231"/>
      <c r="CDL1" s="231"/>
      <c r="CDM1" s="231"/>
      <c r="CDN1" s="231"/>
      <c r="CDO1" s="231"/>
      <c r="CDP1" s="231"/>
      <c r="CDQ1" s="231"/>
      <c r="CDR1" s="231"/>
      <c r="CDS1" s="231"/>
      <c r="CDT1" s="231"/>
      <c r="CDU1" s="231"/>
      <c r="CDV1" s="231"/>
      <c r="CDW1" s="231"/>
      <c r="CDX1" s="231"/>
      <c r="CDY1" s="231"/>
      <c r="CDZ1" s="231"/>
      <c r="CEA1" s="231"/>
      <c r="CEB1" s="231"/>
      <c r="CEC1" s="231"/>
      <c r="CED1" s="231"/>
      <c r="CEE1" s="231"/>
      <c r="CEF1" s="231"/>
      <c r="CEG1" s="231"/>
      <c r="CEH1" s="231"/>
      <c r="CEI1" s="231"/>
      <c r="CEJ1" s="231"/>
      <c r="CEK1" s="231"/>
      <c r="CEL1" s="231"/>
      <c r="CEM1" s="231"/>
      <c r="CEN1" s="231"/>
      <c r="CEO1" s="231"/>
      <c r="CEP1" s="231"/>
      <c r="CEQ1" s="231"/>
      <c r="CER1" s="231"/>
      <c r="CES1" s="231"/>
      <c r="CET1" s="231"/>
      <c r="CEU1" s="231"/>
      <c r="CEV1" s="231"/>
      <c r="CEW1" s="231"/>
      <c r="CEX1" s="231"/>
      <c r="CEY1" s="231"/>
      <c r="CEZ1" s="231"/>
      <c r="CFA1" s="231"/>
      <c r="CFB1" s="231"/>
      <c r="CFC1" s="231"/>
      <c r="CFD1" s="231"/>
      <c r="CFE1" s="231"/>
      <c r="CFF1" s="231"/>
      <c r="CFG1" s="231"/>
      <c r="CFH1" s="231"/>
      <c r="CFI1" s="231"/>
      <c r="CFJ1" s="231"/>
      <c r="CFK1" s="231"/>
      <c r="CFL1" s="231"/>
      <c r="CFM1" s="231"/>
      <c r="CFN1" s="231"/>
      <c r="CFO1" s="231"/>
      <c r="CFP1" s="231"/>
      <c r="CFQ1" s="231"/>
      <c r="CFR1" s="231"/>
      <c r="CFS1" s="231"/>
      <c r="CFT1" s="231"/>
      <c r="CFU1" s="231"/>
      <c r="CFV1" s="231"/>
      <c r="CFW1" s="231"/>
      <c r="CFX1" s="231"/>
      <c r="CFY1" s="231"/>
      <c r="CFZ1" s="231"/>
      <c r="CGA1" s="231"/>
      <c r="CGB1" s="231"/>
      <c r="CGC1" s="231"/>
      <c r="CGD1" s="231"/>
      <c r="CGE1" s="231"/>
      <c r="CGF1" s="231"/>
      <c r="CGG1" s="231"/>
      <c r="CGH1" s="231"/>
      <c r="CGI1" s="231"/>
      <c r="CGJ1" s="231"/>
      <c r="CGK1" s="231"/>
      <c r="CGL1" s="231"/>
      <c r="CGM1" s="231"/>
      <c r="CGN1" s="231"/>
      <c r="CGO1" s="231"/>
      <c r="CGP1" s="231"/>
      <c r="CGQ1" s="231"/>
      <c r="CGR1" s="231"/>
      <c r="CGS1" s="231"/>
      <c r="CGT1" s="231"/>
      <c r="CGU1" s="231"/>
      <c r="CGV1" s="231"/>
      <c r="CGW1" s="231"/>
      <c r="CGX1" s="231"/>
      <c r="CGY1" s="231"/>
      <c r="CGZ1" s="231"/>
      <c r="CHA1" s="231"/>
      <c r="CHB1" s="231"/>
      <c r="CHC1" s="231"/>
      <c r="CHD1" s="231"/>
      <c r="CHE1" s="231"/>
      <c r="CHF1" s="231"/>
      <c r="CHG1" s="231"/>
      <c r="CHH1" s="231"/>
      <c r="CHI1" s="231"/>
      <c r="CHJ1" s="231"/>
      <c r="CHK1" s="231"/>
      <c r="CHL1" s="231"/>
      <c r="CHM1" s="231"/>
      <c r="CHN1" s="231"/>
      <c r="CHO1" s="231"/>
      <c r="CHP1" s="231"/>
      <c r="CHQ1" s="231"/>
      <c r="CHR1" s="231"/>
      <c r="CHS1" s="231"/>
      <c r="CHT1" s="231"/>
      <c r="CHU1" s="231"/>
      <c r="CHV1" s="231"/>
      <c r="CHW1" s="231"/>
      <c r="CHX1" s="231"/>
      <c r="CHY1" s="231"/>
      <c r="CHZ1" s="231"/>
      <c r="CIA1" s="231"/>
      <c r="CIB1" s="231"/>
      <c r="CIC1" s="231"/>
      <c r="CID1" s="231"/>
      <c r="CIE1" s="231"/>
      <c r="CIF1" s="231"/>
      <c r="CIG1" s="231"/>
      <c r="CIH1" s="231"/>
      <c r="CII1" s="231"/>
      <c r="CIJ1" s="231"/>
      <c r="CIK1" s="231"/>
      <c r="CIL1" s="231"/>
      <c r="CIM1" s="231"/>
      <c r="CIN1" s="231"/>
      <c r="CIO1" s="231"/>
      <c r="CIP1" s="231"/>
      <c r="CIQ1" s="231"/>
      <c r="CIR1" s="231"/>
      <c r="CIS1" s="231"/>
      <c r="CIT1" s="231"/>
      <c r="CIU1" s="231"/>
      <c r="CIV1" s="231"/>
      <c r="CIW1" s="231"/>
      <c r="CIX1" s="231"/>
      <c r="CIY1" s="231"/>
      <c r="CIZ1" s="231"/>
      <c r="CJA1" s="231"/>
      <c r="CJB1" s="231"/>
      <c r="CJC1" s="231"/>
      <c r="CJD1" s="231"/>
      <c r="CJE1" s="231"/>
      <c r="CJF1" s="231"/>
      <c r="CJG1" s="231"/>
      <c r="CJH1" s="231"/>
      <c r="CJI1" s="231"/>
      <c r="CJJ1" s="231"/>
      <c r="CJK1" s="231"/>
      <c r="CJL1" s="231"/>
      <c r="CJM1" s="231"/>
      <c r="CJN1" s="231"/>
      <c r="CJO1" s="231"/>
      <c r="CJP1" s="231"/>
      <c r="CJQ1" s="231"/>
      <c r="CJR1" s="231"/>
      <c r="CJS1" s="231"/>
      <c r="CJT1" s="231"/>
      <c r="CJU1" s="231"/>
      <c r="CJV1" s="231"/>
      <c r="CJW1" s="231"/>
      <c r="CJX1" s="231"/>
      <c r="CJY1" s="231"/>
      <c r="CJZ1" s="231"/>
      <c r="CKA1" s="231"/>
      <c r="CKB1" s="231"/>
      <c r="CKC1" s="231"/>
      <c r="CKD1" s="231"/>
      <c r="CKE1" s="231"/>
      <c r="CKF1" s="231"/>
      <c r="CKG1" s="231"/>
      <c r="CKH1" s="231"/>
      <c r="CKI1" s="231"/>
      <c r="CKJ1" s="231"/>
      <c r="CKK1" s="231"/>
      <c r="CKL1" s="231"/>
      <c r="CKM1" s="231"/>
      <c r="CKN1" s="231"/>
      <c r="CKO1" s="231"/>
      <c r="CKP1" s="231"/>
      <c r="CKQ1" s="231"/>
      <c r="CKR1" s="231"/>
      <c r="CKS1" s="231"/>
      <c r="CKT1" s="231"/>
      <c r="CKU1" s="231"/>
      <c r="CKV1" s="231"/>
      <c r="CKW1" s="231"/>
      <c r="CKX1" s="231"/>
      <c r="CKY1" s="231"/>
      <c r="CKZ1" s="231"/>
      <c r="CLA1" s="231"/>
      <c r="CLB1" s="231"/>
      <c r="CLC1" s="231"/>
      <c r="CLD1" s="231"/>
      <c r="CLE1" s="231"/>
      <c r="CLF1" s="231"/>
      <c r="CLG1" s="231"/>
      <c r="CLH1" s="231"/>
      <c r="CLI1" s="231"/>
      <c r="CLJ1" s="231"/>
      <c r="CLK1" s="231"/>
      <c r="CLL1" s="231"/>
      <c r="CLM1" s="231"/>
      <c r="CLN1" s="231"/>
      <c r="CLO1" s="231"/>
      <c r="CLP1" s="231"/>
      <c r="CLQ1" s="231"/>
      <c r="CLR1" s="231"/>
      <c r="CLS1" s="231"/>
      <c r="CLT1" s="231"/>
      <c r="CLU1" s="231"/>
      <c r="CLV1" s="231"/>
      <c r="CLW1" s="231"/>
      <c r="CLX1" s="231"/>
      <c r="CLY1" s="231"/>
      <c r="CLZ1" s="231"/>
      <c r="CMA1" s="231"/>
      <c r="CMB1" s="231"/>
      <c r="CMC1" s="231"/>
      <c r="CMD1" s="231"/>
      <c r="CME1" s="231"/>
      <c r="CMF1" s="231"/>
      <c r="CMG1" s="231"/>
      <c r="CMH1" s="231"/>
      <c r="CMI1" s="231"/>
      <c r="CMJ1" s="231"/>
      <c r="CMK1" s="231"/>
      <c r="CML1" s="231"/>
      <c r="CMM1" s="231"/>
      <c r="CMN1" s="231"/>
      <c r="CMO1" s="231"/>
      <c r="CMP1" s="231"/>
      <c r="CMQ1" s="231"/>
      <c r="CMR1" s="231"/>
      <c r="CMS1" s="231"/>
      <c r="CMT1" s="231"/>
      <c r="CMU1" s="231"/>
      <c r="CMV1" s="231"/>
      <c r="CMW1" s="231"/>
      <c r="CMX1" s="231"/>
      <c r="CMY1" s="231"/>
      <c r="CMZ1" s="231"/>
      <c r="CNA1" s="231"/>
      <c r="CNB1" s="231"/>
      <c r="CNC1" s="231"/>
      <c r="CND1" s="231"/>
      <c r="CNE1" s="231"/>
      <c r="CNF1" s="231"/>
      <c r="CNG1" s="231"/>
      <c r="CNH1" s="231"/>
      <c r="CNI1" s="231"/>
      <c r="CNJ1" s="231"/>
      <c r="CNK1" s="231"/>
      <c r="CNL1" s="231"/>
      <c r="CNM1" s="231"/>
      <c r="CNN1" s="231"/>
      <c r="CNO1" s="231"/>
      <c r="CNP1" s="231"/>
      <c r="CNQ1" s="231"/>
      <c r="CNR1" s="231"/>
      <c r="CNS1" s="231"/>
      <c r="CNT1" s="231"/>
      <c r="CNU1" s="231"/>
      <c r="CNV1" s="231"/>
      <c r="CNW1" s="231"/>
      <c r="CNX1" s="231"/>
      <c r="CNY1" s="231"/>
      <c r="CNZ1" s="231"/>
      <c r="COA1" s="231"/>
      <c r="COB1" s="231"/>
      <c r="COC1" s="231"/>
      <c r="COD1" s="231"/>
      <c r="COE1" s="231"/>
      <c r="COF1" s="231"/>
      <c r="COG1" s="231"/>
      <c r="COH1" s="231"/>
      <c r="COI1" s="231"/>
      <c r="COJ1" s="231"/>
      <c r="COK1" s="231"/>
      <c r="COL1" s="231"/>
      <c r="COM1" s="231"/>
      <c r="CON1" s="231"/>
      <c r="COO1" s="231"/>
      <c r="COP1" s="231"/>
      <c r="COQ1" s="231"/>
      <c r="COR1" s="231"/>
      <c r="COS1" s="231"/>
      <c r="COT1" s="231"/>
      <c r="COU1" s="231"/>
      <c r="COV1" s="231"/>
      <c r="COW1" s="231"/>
      <c r="COX1" s="231"/>
      <c r="COY1" s="231"/>
      <c r="COZ1" s="231"/>
      <c r="CPA1" s="231"/>
      <c r="CPB1" s="231"/>
      <c r="CPC1" s="231"/>
      <c r="CPD1" s="231"/>
      <c r="CPE1" s="231"/>
      <c r="CPF1" s="231"/>
      <c r="CPG1" s="231"/>
      <c r="CPH1" s="231"/>
      <c r="CPI1" s="231"/>
      <c r="CPJ1" s="231"/>
      <c r="CPK1" s="231"/>
      <c r="CPL1" s="231"/>
      <c r="CPM1" s="231"/>
      <c r="CPN1" s="231"/>
      <c r="CPO1" s="231"/>
      <c r="CPP1" s="231"/>
      <c r="CPQ1" s="231"/>
      <c r="CPR1" s="231"/>
      <c r="CPS1" s="231"/>
      <c r="CPT1" s="231"/>
      <c r="CPU1" s="231"/>
      <c r="CPV1" s="231"/>
      <c r="CPW1" s="231"/>
      <c r="CPX1" s="231"/>
      <c r="CPY1" s="231"/>
      <c r="CPZ1" s="231"/>
      <c r="CQA1" s="231"/>
      <c r="CQB1" s="231"/>
      <c r="CQC1" s="231"/>
      <c r="CQD1" s="231"/>
      <c r="CQE1" s="231"/>
      <c r="CQF1" s="231"/>
      <c r="CQG1" s="231"/>
      <c r="CQH1" s="231"/>
      <c r="CQI1" s="231"/>
      <c r="CQJ1" s="231"/>
      <c r="CQK1" s="231"/>
      <c r="CQL1" s="231"/>
      <c r="CQM1" s="231"/>
      <c r="CQN1" s="231"/>
      <c r="CQO1" s="231"/>
      <c r="CQP1" s="231"/>
      <c r="CQQ1" s="231"/>
      <c r="CQR1" s="231"/>
      <c r="CQS1" s="231"/>
      <c r="CQT1" s="231"/>
      <c r="CQU1" s="231"/>
      <c r="CQV1" s="231"/>
      <c r="CQW1" s="231"/>
      <c r="CQX1" s="231"/>
      <c r="CQY1" s="231"/>
      <c r="CQZ1" s="231"/>
      <c r="CRA1" s="231"/>
      <c r="CRB1" s="231"/>
      <c r="CRC1" s="231"/>
      <c r="CRD1" s="231"/>
      <c r="CRE1" s="231"/>
      <c r="CRF1" s="231"/>
      <c r="CRG1" s="231"/>
      <c r="CRH1" s="231"/>
      <c r="CRI1" s="231"/>
      <c r="CRJ1" s="231"/>
      <c r="CRK1" s="231"/>
      <c r="CRL1" s="231"/>
      <c r="CRM1" s="231"/>
      <c r="CRN1" s="231"/>
      <c r="CRO1" s="231"/>
      <c r="CRP1" s="231"/>
      <c r="CRQ1" s="231"/>
      <c r="CRR1" s="231"/>
      <c r="CRS1" s="231"/>
      <c r="CRT1" s="231"/>
      <c r="CRU1" s="231"/>
      <c r="CRV1" s="231"/>
      <c r="CRW1" s="231"/>
      <c r="CRX1" s="231"/>
      <c r="CRY1" s="231"/>
      <c r="CRZ1" s="231"/>
      <c r="CSA1" s="231"/>
      <c r="CSB1" s="231"/>
      <c r="CSC1" s="231"/>
      <c r="CSD1" s="231"/>
      <c r="CSE1" s="231"/>
      <c r="CSF1" s="231"/>
      <c r="CSG1" s="231"/>
      <c r="CSH1" s="231"/>
      <c r="CSI1" s="231"/>
      <c r="CSJ1" s="231"/>
      <c r="CSK1" s="231"/>
      <c r="CSL1" s="231"/>
      <c r="CSM1" s="231"/>
      <c r="CSN1" s="231"/>
      <c r="CSO1" s="231"/>
      <c r="CSP1" s="231"/>
      <c r="CSQ1" s="231"/>
      <c r="CSR1" s="231"/>
      <c r="CSS1" s="231"/>
      <c r="CST1" s="231"/>
      <c r="CSU1" s="231"/>
      <c r="CSV1" s="231"/>
      <c r="CSW1" s="231"/>
      <c r="CSX1" s="231"/>
      <c r="CSY1" s="231"/>
      <c r="CSZ1" s="231"/>
      <c r="CTA1" s="231"/>
      <c r="CTB1" s="231"/>
      <c r="CTC1" s="231"/>
      <c r="CTD1" s="231"/>
      <c r="CTE1" s="231"/>
      <c r="CTF1" s="231"/>
      <c r="CTG1" s="231"/>
      <c r="CTH1" s="231"/>
      <c r="CTI1" s="231"/>
      <c r="CTJ1" s="231"/>
      <c r="CTK1" s="231"/>
      <c r="CTL1" s="231"/>
      <c r="CTM1" s="231"/>
      <c r="CTN1" s="231"/>
      <c r="CTO1" s="231"/>
      <c r="CTP1" s="231"/>
      <c r="CTQ1" s="231"/>
      <c r="CTR1" s="231"/>
      <c r="CTS1" s="231"/>
      <c r="CTT1" s="231"/>
      <c r="CTU1" s="231"/>
      <c r="CTV1" s="231"/>
      <c r="CTW1" s="231"/>
      <c r="CTX1" s="231"/>
      <c r="CTY1" s="231"/>
      <c r="CTZ1" s="231"/>
      <c r="CUA1" s="231"/>
      <c r="CUB1" s="231"/>
      <c r="CUC1" s="231"/>
      <c r="CUD1" s="231"/>
      <c r="CUE1" s="231"/>
      <c r="CUF1" s="231"/>
      <c r="CUG1" s="231"/>
      <c r="CUH1" s="231"/>
      <c r="CUI1" s="231"/>
      <c r="CUJ1" s="231"/>
      <c r="CUK1" s="231"/>
      <c r="CUL1" s="231"/>
      <c r="CUM1" s="231"/>
      <c r="CUN1" s="231"/>
      <c r="CUO1" s="231"/>
      <c r="CUP1" s="231"/>
      <c r="CUQ1" s="231"/>
      <c r="CUR1" s="231"/>
      <c r="CUS1" s="231"/>
      <c r="CUT1" s="231"/>
      <c r="CUU1" s="231"/>
      <c r="CUV1" s="231"/>
      <c r="CUW1" s="231"/>
      <c r="CUX1" s="231"/>
      <c r="CUY1" s="231"/>
      <c r="CUZ1" s="231"/>
      <c r="CVA1" s="231"/>
      <c r="CVB1" s="231"/>
      <c r="CVC1" s="231"/>
      <c r="CVD1" s="231"/>
      <c r="CVE1" s="231"/>
      <c r="CVF1" s="231"/>
      <c r="CVG1" s="231"/>
      <c r="CVH1" s="231"/>
      <c r="CVI1" s="231"/>
      <c r="CVJ1" s="231"/>
      <c r="CVK1" s="231"/>
      <c r="CVL1" s="231"/>
      <c r="CVM1" s="231"/>
      <c r="CVN1" s="231"/>
      <c r="CVO1" s="231"/>
      <c r="CVP1" s="231"/>
      <c r="CVQ1" s="231"/>
      <c r="CVR1" s="231"/>
      <c r="CVS1" s="231"/>
      <c r="CVT1" s="231"/>
      <c r="CVU1" s="231"/>
      <c r="CVV1" s="231"/>
      <c r="CVW1" s="231"/>
      <c r="CVX1" s="231"/>
      <c r="CVY1" s="231"/>
      <c r="CVZ1" s="231"/>
      <c r="CWA1" s="231"/>
      <c r="CWB1" s="231"/>
      <c r="CWC1" s="231"/>
      <c r="CWD1" s="231"/>
      <c r="CWE1" s="231"/>
      <c r="CWF1" s="231"/>
      <c r="CWG1" s="231"/>
      <c r="CWH1" s="231"/>
      <c r="CWI1" s="231"/>
      <c r="CWJ1" s="231"/>
      <c r="CWK1" s="231"/>
      <c r="CWL1" s="231"/>
      <c r="CWM1" s="231"/>
      <c r="CWN1" s="231"/>
      <c r="CWO1" s="231"/>
      <c r="CWP1" s="231"/>
      <c r="CWQ1" s="231"/>
      <c r="CWR1" s="231"/>
      <c r="CWS1" s="231"/>
      <c r="CWT1" s="231"/>
      <c r="CWU1" s="231"/>
      <c r="CWV1" s="231"/>
      <c r="CWW1" s="231"/>
      <c r="CWX1" s="231"/>
      <c r="CWY1" s="231"/>
      <c r="CWZ1" s="231"/>
      <c r="CXA1" s="231"/>
      <c r="CXB1" s="231"/>
      <c r="CXC1" s="231"/>
      <c r="CXD1" s="231"/>
      <c r="CXE1" s="231"/>
      <c r="CXF1" s="231"/>
      <c r="CXG1" s="231"/>
      <c r="CXH1" s="231"/>
      <c r="CXI1" s="231"/>
      <c r="CXJ1" s="231"/>
      <c r="CXK1" s="231"/>
      <c r="CXL1" s="231"/>
      <c r="CXM1" s="231"/>
      <c r="CXN1" s="231"/>
      <c r="CXO1" s="231"/>
      <c r="CXP1" s="231"/>
      <c r="CXQ1" s="231"/>
      <c r="CXR1" s="231"/>
      <c r="CXS1" s="231"/>
      <c r="CXT1" s="231"/>
      <c r="CXU1" s="231"/>
      <c r="CXV1" s="231"/>
      <c r="CXW1" s="231"/>
      <c r="CXX1" s="231"/>
      <c r="CXY1" s="231"/>
      <c r="CXZ1" s="231"/>
      <c r="CYA1" s="231"/>
      <c r="CYB1" s="231"/>
      <c r="CYC1" s="231"/>
      <c r="CYD1" s="231"/>
      <c r="CYE1" s="231"/>
      <c r="CYF1" s="231"/>
      <c r="CYG1" s="231"/>
      <c r="CYH1" s="231"/>
      <c r="CYI1" s="231"/>
      <c r="CYJ1" s="231"/>
      <c r="CYK1" s="231"/>
      <c r="CYL1" s="231"/>
      <c r="CYM1" s="231"/>
      <c r="CYN1" s="231"/>
      <c r="CYO1" s="231"/>
      <c r="CYP1" s="231"/>
      <c r="CYQ1" s="231"/>
      <c r="CYR1" s="231"/>
      <c r="CYS1" s="231"/>
      <c r="CYT1" s="231"/>
      <c r="CYU1" s="231"/>
      <c r="CYV1" s="231"/>
      <c r="CYW1" s="231"/>
      <c r="CYX1" s="231"/>
      <c r="CYY1" s="231"/>
      <c r="CYZ1" s="231"/>
      <c r="CZA1" s="231"/>
      <c r="CZB1" s="231"/>
      <c r="CZC1" s="231"/>
      <c r="CZD1" s="231"/>
      <c r="CZE1" s="231"/>
      <c r="CZF1" s="231"/>
      <c r="CZG1" s="231"/>
      <c r="CZH1" s="231"/>
      <c r="CZI1" s="231"/>
      <c r="CZJ1" s="231"/>
      <c r="CZK1" s="231"/>
      <c r="CZL1" s="231"/>
      <c r="CZM1" s="231"/>
      <c r="CZN1" s="231"/>
      <c r="CZO1" s="231"/>
      <c r="CZP1" s="231"/>
      <c r="CZQ1" s="231"/>
      <c r="CZR1" s="231"/>
      <c r="CZS1" s="231"/>
      <c r="CZT1" s="231"/>
      <c r="CZU1" s="231"/>
      <c r="CZV1" s="231"/>
      <c r="CZW1" s="231"/>
      <c r="CZX1" s="231"/>
      <c r="CZY1" s="231"/>
      <c r="CZZ1" s="231"/>
      <c r="DAA1" s="231"/>
      <c r="DAB1" s="231"/>
      <c r="DAC1" s="231"/>
      <c r="DAD1" s="231"/>
      <c r="DAE1" s="231"/>
      <c r="DAF1" s="231"/>
      <c r="DAG1" s="231"/>
      <c r="DAH1" s="231"/>
      <c r="DAI1" s="231"/>
      <c r="DAJ1" s="231"/>
      <c r="DAK1" s="231"/>
      <c r="DAL1" s="231"/>
      <c r="DAM1" s="231"/>
      <c r="DAN1" s="231"/>
      <c r="DAO1" s="231"/>
      <c r="DAP1" s="231"/>
      <c r="DAQ1" s="231"/>
      <c r="DAR1" s="231"/>
      <c r="DAS1" s="231"/>
      <c r="DAT1" s="231"/>
      <c r="DAU1" s="231"/>
      <c r="DAV1" s="231"/>
      <c r="DAW1" s="231"/>
      <c r="DAX1" s="231"/>
      <c r="DAY1" s="231"/>
      <c r="DAZ1" s="231"/>
      <c r="DBA1" s="231"/>
      <c r="DBB1" s="231"/>
      <c r="DBC1" s="231"/>
      <c r="DBD1" s="231"/>
      <c r="DBE1" s="231"/>
      <c r="DBF1" s="231"/>
      <c r="DBG1" s="231"/>
      <c r="DBH1" s="231"/>
      <c r="DBI1" s="231"/>
      <c r="DBJ1" s="231"/>
      <c r="DBK1" s="231"/>
      <c r="DBL1" s="231"/>
      <c r="DBM1" s="231"/>
      <c r="DBN1" s="231"/>
      <c r="DBO1" s="231"/>
      <c r="DBP1" s="231"/>
      <c r="DBQ1" s="231"/>
      <c r="DBR1" s="231"/>
      <c r="DBS1" s="231"/>
      <c r="DBT1" s="231"/>
      <c r="DBU1" s="231"/>
      <c r="DBV1" s="231"/>
      <c r="DBW1" s="231"/>
      <c r="DBX1" s="231"/>
      <c r="DBY1" s="231"/>
      <c r="DBZ1" s="231"/>
      <c r="DCA1" s="231"/>
      <c r="DCB1" s="231"/>
      <c r="DCC1" s="231"/>
      <c r="DCD1" s="231"/>
      <c r="DCE1" s="231"/>
      <c r="DCF1" s="231"/>
      <c r="DCG1" s="231"/>
      <c r="DCH1" s="231"/>
      <c r="DCI1" s="231"/>
      <c r="DCJ1" s="231"/>
      <c r="DCK1" s="231"/>
      <c r="DCL1" s="231"/>
      <c r="DCM1" s="231"/>
      <c r="DCN1" s="231"/>
      <c r="DCO1" s="231"/>
      <c r="DCP1" s="231"/>
      <c r="DCQ1" s="231"/>
      <c r="DCR1" s="231"/>
      <c r="DCS1" s="231"/>
      <c r="DCT1" s="231"/>
      <c r="DCU1" s="231"/>
      <c r="DCV1" s="231"/>
      <c r="DCW1" s="231"/>
      <c r="DCX1" s="231"/>
      <c r="DCY1" s="231"/>
      <c r="DCZ1" s="231"/>
      <c r="DDA1" s="231"/>
      <c r="DDB1" s="231"/>
      <c r="DDC1" s="231"/>
      <c r="DDD1" s="231"/>
      <c r="DDE1" s="231"/>
      <c r="DDF1" s="231"/>
      <c r="DDG1" s="231"/>
      <c r="DDH1" s="231"/>
      <c r="DDI1" s="231"/>
      <c r="DDJ1" s="231"/>
      <c r="DDK1" s="231"/>
      <c r="DDL1" s="231"/>
      <c r="DDM1" s="231"/>
      <c r="DDN1" s="231"/>
      <c r="DDO1" s="231"/>
      <c r="DDP1" s="231"/>
      <c r="DDQ1" s="231"/>
      <c r="DDR1" s="231"/>
      <c r="DDS1" s="231"/>
      <c r="DDT1" s="231"/>
      <c r="DDU1" s="231"/>
      <c r="DDV1" s="231"/>
      <c r="DDW1" s="231"/>
      <c r="DDX1" s="231"/>
      <c r="DDY1" s="231"/>
      <c r="DDZ1" s="231"/>
      <c r="DEA1" s="231"/>
      <c r="DEB1" s="231"/>
      <c r="DEC1" s="231"/>
      <c r="DED1" s="231"/>
      <c r="DEE1" s="231"/>
      <c r="DEF1" s="231"/>
      <c r="DEG1" s="231"/>
      <c r="DEH1" s="231"/>
      <c r="DEI1" s="231"/>
      <c r="DEJ1" s="231"/>
      <c r="DEK1" s="231"/>
      <c r="DEL1" s="231"/>
      <c r="DEM1" s="231"/>
      <c r="DEN1" s="231"/>
      <c r="DEO1" s="231"/>
      <c r="DEP1" s="231"/>
      <c r="DEQ1" s="231"/>
      <c r="DER1" s="231"/>
      <c r="DES1" s="231"/>
      <c r="DET1" s="231"/>
      <c r="DEU1" s="231"/>
      <c r="DEV1" s="231"/>
      <c r="DEW1" s="231"/>
      <c r="DEX1" s="231"/>
      <c r="DEY1" s="231"/>
      <c r="DEZ1" s="231"/>
      <c r="DFA1" s="231"/>
      <c r="DFB1" s="231"/>
      <c r="DFC1" s="231"/>
      <c r="DFD1" s="231"/>
      <c r="DFE1" s="231"/>
      <c r="DFF1" s="231"/>
      <c r="DFG1" s="231"/>
      <c r="DFH1" s="231"/>
      <c r="DFI1" s="231"/>
      <c r="DFJ1" s="231"/>
      <c r="DFK1" s="231"/>
      <c r="DFL1" s="231"/>
      <c r="DFM1" s="231"/>
      <c r="DFN1" s="231"/>
      <c r="DFO1" s="231"/>
      <c r="DFP1" s="231"/>
      <c r="DFQ1" s="231"/>
      <c r="DFR1" s="231"/>
      <c r="DFS1" s="231"/>
      <c r="DFT1" s="231"/>
      <c r="DFU1" s="231"/>
      <c r="DFV1" s="231"/>
      <c r="DFW1" s="231"/>
      <c r="DFX1" s="231"/>
      <c r="DFY1" s="231"/>
      <c r="DFZ1" s="231"/>
      <c r="DGA1" s="231"/>
      <c r="DGB1" s="231"/>
      <c r="DGC1" s="231"/>
      <c r="DGD1" s="231"/>
      <c r="DGE1" s="231"/>
      <c r="DGF1" s="231"/>
      <c r="DGG1" s="231"/>
      <c r="DGH1" s="231"/>
      <c r="DGI1" s="231"/>
      <c r="DGJ1" s="231"/>
      <c r="DGK1" s="231"/>
      <c r="DGL1" s="231"/>
      <c r="DGM1" s="231"/>
      <c r="DGN1" s="231"/>
      <c r="DGO1" s="231"/>
      <c r="DGP1" s="231"/>
      <c r="DGQ1" s="231"/>
      <c r="DGR1" s="231"/>
      <c r="DGS1" s="231"/>
      <c r="DGT1" s="231"/>
      <c r="DGU1" s="231"/>
      <c r="DGV1" s="231"/>
      <c r="DGW1" s="231"/>
      <c r="DGX1" s="231"/>
      <c r="DGY1" s="231"/>
      <c r="DGZ1" s="231"/>
      <c r="DHA1" s="231"/>
      <c r="DHB1" s="231"/>
      <c r="DHC1" s="231"/>
      <c r="DHD1" s="231"/>
      <c r="DHE1" s="231"/>
      <c r="DHF1" s="231"/>
      <c r="DHG1" s="231"/>
      <c r="DHH1" s="231"/>
      <c r="DHI1" s="231"/>
      <c r="DHJ1" s="231"/>
      <c r="DHK1" s="231"/>
      <c r="DHL1" s="231"/>
      <c r="DHM1" s="231"/>
      <c r="DHN1" s="231"/>
      <c r="DHO1" s="231"/>
      <c r="DHP1" s="231"/>
      <c r="DHQ1" s="231"/>
      <c r="DHR1" s="231"/>
      <c r="DHS1" s="231"/>
      <c r="DHT1" s="231"/>
      <c r="DHU1" s="231"/>
      <c r="DHV1" s="231"/>
      <c r="DHW1" s="231"/>
      <c r="DHX1" s="231"/>
      <c r="DHY1" s="231"/>
      <c r="DHZ1" s="231"/>
      <c r="DIA1" s="231"/>
      <c r="DIB1" s="231"/>
      <c r="DIC1" s="231"/>
      <c r="DID1" s="231"/>
      <c r="DIE1" s="231"/>
      <c r="DIF1" s="231"/>
      <c r="DIG1" s="231"/>
      <c r="DIH1" s="231"/>
      <c r="DII1" s="231"/>
      <c r="DIJ1" s="231"/>
      <c r="DIK1" s="231"/>
      <c r="DIL1" s="231"/>
      <c r="DIM1" s="231"/>
      <c r="DIN1" s="231"/>
      <c r="DIO1" s="231"/>
      <c r="DIP1" s="231"/>
      <c r="DIQ1" s="231"/>
      <c r="DIR1" s="231"/>
      <c r="DIS1" s="231"/>
      <c r="DIT1" s="231"/>
      <c r="DIU1" s="231"/>
      <c r="DIV1" s="231"/>
      <c r="DIW1" s="231"/>
      <c r="DIX1" s="231"/>
      <c r="DIY1" s="231"/>
      <c r="DIZ1" s="231"/>
      <c r="DJA1" s="231"/>
      <c r="DJB1" s="231"/>
      <c r="DJC1" s="231"/>
      <c r="DJD1" s="231"/>
      <c r="DJE1" s="231"/>
      <c r="DJF1" s="231"/>
      <c r="DJG1" s="231"/>
      <c r="DJH1" s="231"/>
      <c r="DJI1" s="231"/>
      <c r="DJJ1" s="231"/>
      <c r="DJK1" s="231"/>
      <c r="DJL1" s="231"/>
      <c r="DJM1" s="231"/>
      <c r="DJN1" s="231"/>
      <c r="DJO1" s="231"/>
      <c r="DJP1" s="231"/>
      <c r="DJQ1" s="231"/>
      <c r="DJR1" s="231"/>
      <c r="DJS1" s="231"/>
      <c r="DJT1" s="231"/>
      <c r="DJU1" s="231"/>
      <c r="DJV1" s="231"/>
      <c r="DJW1" s="231"/>
      <c r="DJX1" s="231"/>
      <c r="DJY1" s="231"/>
      <c r="DJZ1" s="231"/>
      <c r="DKA1" s="231"/>
      <c r="DKB1" s="231"/>
      <c r="DKC1" s="231"/>
      <c r="DKD1" s="231"/>
      <c r="DKE1" s="231"/>
      <c r="DKF1" s="231"/>
      <c r="DKG1" s="231"/>
      <c r="DKH1" s="231"/>
      <c r="DKI1" s="231"/>
      <c r="DKJ1" s="231"/>
      <c r="DKK1" s="231"/>
      <c r="DKL1" s="231"/>
      <c r="DKM1" s="231"/>
      <c r="DKN1" s="231"/>
      <c r="DKO1" s="231"/>
      <c r="DKP1" s="231"/>
      <c r="DKQ1" s="231"/>
      <c r="DKR1" s="231"/>
      <c r="DKS1" s="231"/>
      <c r="DKT1" s="231"/>
      <c r="DKU1" s="231"/>
      <c r="DKV1" s="231"/>
      <c r="DKW1" s="231"/>
      <c r="DKX1" s="231"/>
      <c r="DKY1" s="231"/>
      <c r="DKZ1" s="231"/>
      <c r="DLA1" s="231"/>
      <c r="DLB1" s="231"/>
      <c r="DLC1" s="231"/>
      <c r="DLD1" s="231"/>
      <c r="DLE1" s="231"/>
      <c r="DLF1" s="231"/>
      <c r="DLG1" s="231"/>
      <c r="DLH1" s="231"/>
      <c r="DLI1" s="231"/>
      <c r="DLJ1" s="231"/>
      <c r="DLK1" s="231"/>
      <c r="DLL1" s="231"/>
      <c r="DLM1" s="231"/>
      <c r="DLN1" s="231"/>
      <c r="DLO1" s="231"/>
      <c r="DLP1" s="231"/>
      <c r="DLQ1" s="231"/>
      <c r="DLR1" s="231"/>
      <c r="DLS1" s="231"/>
      <c r="DLT1" s="231"/>
      <c r="DLU1" s="231"/>
      <c r="DLV1" s="231"/>
      <c r="DLW1" s="231"/>
      <c r="DLX1" s="231"/>
      <c r="DLY1" s="231"/>
      <c r="DLZ1" s="231"/>
      <c r="DMA1" s="231"/>
      <c r="DMB1" s="231"/>
      <c r="DMC1" s="231"/>
      <c r="DMD1" s="231"/>
      <c r="DME1" s="231"/>
      <c r="DMF1" s="231"/>
      <c r="DMG1" s="231"/>
      <c r="DMH1" s="231"/>
      <c r="DMI1" s="231"/>
      <c r="DMJ1" s="231"/>
      <c r="DMK1" s="231"/>
      <c r="DML1" s="231"/>
      <c r="DMM1" s="231"/>
      <c r="DMN1" s="231"/>
      <c r="DMO1" s="231"/>
      <c r="DMP1" s="231"/>
      <c r="DMQ1" s="231"/>
      <c r="DMR1" s="231"/>
      <c r="DMS1" s="231"/>
      <c r="DMT1" s="231"/>
      <c r="DMU1" s="231"/>
      <c r="DMV1" s="231"/>
      <c r="DMW1" s="231"/>
      <c r="DMX1" s="231"/>
      <c r="DMY1" s="231"/>
      <c r="DMZ1" s="231"/>
      <c r="DNA1" s="231"/>
      <c r="DNB1" s="231"/>
      <c r="DNC1" s="231"/>
      <c r="DND1" s="231"/>
      <c r="DNE1" s="231"/>
      <c r="DNF1" s="231"/>
      <c r="DNG1" s="231"/>
      <c r="DNH1" s="231"/>
      <c r="DNI1" s="231"/>
      <c r="DNJ1" s="231"/>
      <c r="DNK1" s="231"/>
      <c r="DNL1" s="231"/>
      <c r="DNM1" s="231"/>
      <c r="DNN1" s="231"/>
      <c r="DNO1" s="231"/>
      <c r="DNP1" s="231"/>
      <c r="DNQ1" s="231"/>
      <c r="DNR1" s="231"/>
      <c r="DNS1" s="231"/>
      <c r="DNT1" s="231"/>
      <c r="DNU1" s="231"/>
      <c r="DNV1" s="231"/>
      <c r="DNW1" s="231"/>
      <c r="DNX1" s="231"/>
      <c r="DNY1" s="231"/>
      <c r="DNZ1" s="231"/>
      <c r="DOA1" s="231"/>
      <c r="DOB1" s="231"/>
      <c r="DOC1" s="231"/>
      <c r="DOD1" s="231"/>
      <c r="DOE1" s="231"/>
      <c r="DOF1" s="231"/>
      <c r="DOG1" s="231"/>
      <c r="DOH1" s="231"/>
      <c r="DOI1" s="231"/>
      <c r="DOJ1" s="231"/>
      <c r="DOK1" s="231"/>
      <c r="DOL1" s="231"/>
      <c r="DOM1" s="231"/>
      <c r="DON1" s="231"/>
      <c r="DOO1" s="231"/>
      <c r="DOP1" s="231"/>
      <c r="DOQ1" s="231"/>
      <c r="DOR1" s="231"/>
      <c r="DOS1" s="231"/>
      <c r="DOT1" s="231"/>
      <c r="DOU1" s="231"/>
      <c r="DOV1" s="231"/>
      <c r="DOW1" s="231"/>
      <c r="DOX1" s="231"/>
      <c r="DOY1" s="231"/>
      <c r="DOZ1" s="231"/>
      <c r="DPA1" s="231"/>
      <c r="DPB1" s="231"/>
      <c r="DPC1" s="231"/>
      <c r="DPD1" s="231"/>
      <c r="DPE1" s="231"/>
      <c r="DPF1" s="231"/>
      <c r="DPG1" s="231"/>
      <c r="DPH1" s="231"/>
      <c r="DPI1" s="231"/>
      <c r="DPJ1" s="231"/>
      <c r="DPK1" s="231"/>
      <c r="DPL1" s="231"/>
      <c r="DPM1" s="231"/>
      <c r="DPN1" s="231"/>
      <c r="DPO1" s="231"/>
      <c r="DPP1" s="231"/>
      <c r="DPQ1" s="231"/>
      <c r="DPR1" s="231"/>
      <c r="DPS1" s="231"/>
      <c r="DPT1" s="231"/>
      <c r="DPU1" s="231"/>
      <c r="DPV1" s="231"/>
      <c r="DPW1" s="231"/>
      <c r="DPX1" s="231"/>
      <c r="DPY1" s="231"/>
      <c r="DPZ1" s="231"/>
      <c r="DQA1" s="231"/>
      <c r="DQB1" s="231"/>
      <c r="DQC1" s="231"/>
      <c r="DQD1" s="231"/>
      <c r="DQE1" s="231"/>
      <c r="DQF1" s="231"/>
      <c r="DQG1" s="231"/>
      <c r="DQH1" s="231"/>
      <c r="DQI1" s="231"/>
      <c r="DQJ1" s="231"/>
      <c r="DQK1" s="231"/>
      <c r="DQL1" s="231"/>
      <c r="DQM1" s="231"/>
      <c r="DQN1" s="231"/>
      <c r="DQO1" s="231"/>
      <c r="DQP1" s="231"/>
      <c r="DQQ1" s="231"/>
      <c r="DQR1" s="231"/>
      <c r="DQS1" s="231"/>
      <c r="DQT1" s="231"/>
      <c r="DQU1" s="231"/>
      <c r="DQV1" s="231"/>
      <c r="DQW1" s="231"/>
      <c r="DQX1" s="231"/>
      <c r="DQY1" s="231"/>
      <c r="DQZ1" s="231"/>
      <c r="DRA1" s="231"/>
      <c r="DRB1" s="231"/>
      <c r="DRC1" s="231"/>
      <c r="DRD1" s="231"/>
      <c r="DRE1" s="231"/>
      <c r="DRF1" s="231"/>
      <c r="DRG1" s="231"/>
      <c r="DRH1" s="231"/>
      <c r="DRI1" s="231"/>
      <c r="DRJ1" s="231"/>
      <c r="DRK1" s="231"/>
      <c r="DRL1" s="231"/>
      <c r="DRM1" s="231"/>
      <c r="DRN1" s="231"/>
      <c r="DRO1" s="231"/>
      <c r="DRP1" s="231"/>
      <c r="DRQ1" s="231"/>
      <c r="DRR1" s="231"/>
      <c r="DRS1" s="231"/>
      <c r="DRT1" s="231"/>
      <c r="DRU1" s="231"/>
      <c r="DRV1" s="231"/>
      <c r="DRW1" s="231"/>
      <c r="DRX1" s="231"/>
      <c r="DRY1" s="231"/>
      <c r="DRZ1" s="231"/>
      <c r="DSA1" s="231"/>
      <c r="DSB1" s="231"/>
      <c r="DSC1" s="231"/>
      <c r="DSD1" s="231"/>
      <c r="DSE1" s="231"/>
      <c r="DSF1" s="231"/>
      <c r="DSG1" s="231"/>
      <c r="DSH1" s="231"/>
      <c r="DSI1" s="231"/>
      <c r="DSJ1" s="231"/>
      <c r="DSK1" s="231"/>
      <c r="DSL1" s="231"/>
      <c r="DSM1" s="231"/>
      <c r="DSN1" s="231"/>
      <c r="DSO1" s="231"/>
      <c r="DSP1" s="231"/>
      <c r="DSQ1" s="231"/>
      <c r="DSR1" s="231"/>
      <c r="DSS1" s="231"/>
      <c r="DST1" s="231"/>
      <c r="DSU1" s="231"/>
      <c r="DSV1" s="231"/>
      <c r="DSW1" s="231"/>
      <c r="DSX1" s="231"/>
      <c r="DSY1" s="231"/>
      <c r="DSZ1" s="231"/>
      <c r="DTA1" s="231"/>
      <c r="DTB1" s="231"/>
      <c r="DTC1" s="231"/>
      <c r="DTD1" s="231"/>
      <c r="DTE1" s="231"/>
      <c r="DTF1" s="231"/>
      <c r="DTG1" s="231"/>
      <c r="DTH1" s="231"/>
      <c r="DTI1" s="231"/>
      <c r="DTJ1" s="231"/>
      <c r="DTK1" s="231"/>
      <c r="DTL1" s="231"/>
      <c r="DTM1" s="231"/>
      <c r="DTN1" s="231"/>
      <c r="DTO1" s="231"/>
      <c r="DTP1" s="231"/>
      <c r="DTQ1" s="231"/>
      <c r="DTR1" s="231"/>
      <c r="DTS1" s="231"/>
      <c r="DTT1" s="231"/>
      <c r="DTU1" s="231"/>
      <c r="DTV1" s="231"/>
      <c r="DTW1" s="231"/>
      <c r="DTX1" s="231"/>
      <c r="DTY1" s="231"/>
      <c r="DTZ1" s="231"/>
      <c r="DUA1" s="231"/>
      <c r="DUB1" s="231"/>
      <c r="DUC1" s="231"/>
      <c r="DUD1" s="231"/>
      <c r="DUE1" s="231"/>
      <c r="DUF1" s="231"/>
      <c r="DUG1" s="231"/>
      <c r="DUH1" s="231"/>
      <c r="DUI1" s="231"/>
      <c r="DUJ1" s="231"/>
      <c r="DUK1" s="231"/>
      <c r="DUL1" s="231"/>
      <c r="DUM1" s="231"/>
      <c r="DUN1" s="231"/>
      <c r="DUO1" s="231"/>
      <c r="DUP1" s="231"/>
      <c r="DUQ1" s="231"/>
      <c r="DUR1" s="231"/>
      <c r="DUS1" s="231"/>
      <c r="DUT1" s="231"/>
      <c r="DUU1" s="231"/>
      <c r="DUV1" s="231"/>
      <c r="DUW1" s="231"/>
      <c r="DUX1" s="231"/>
      <c r="DUY1" s="231"/>
      <c r="DUZ1" s="231"/>
      <c r="DVA1" s="231"/>
      <c r="DVB1" s="231"/>
      <c r="DVC1" s="231"/>
      <c r="DVD1" s="231"/>
      <c r="DVE1" s="231"/>
      <c r="DVF1" s="231"/>
      <c r="DVG1" s="231"/>
      <c r="DVH1" s="231"/>
      <c r="DVI1" s="231"/>
      <c r="DVJ1" s="231"/>
      <c r="DVK1" s="231"/>
      <c r="DVL1" s="231"/>
      <c r="DVM1" s="231"/>
      <c r="DVN1" s="231"/>
      <c r="DVO1" s="231"/>
      <c r="DVP1" s="231"/>
      <c r="DVQ1" s="231"/>
      <c r="DVR1" s="231"/>
      <c r="DVS1" s="231"/>
      <c r="DVT1" s="231"/>
      <c r="DVU1" s="231"/>
      <c r="DVV1" s="231"/>
      <c r="DVW1" s="231"/>
      <c r="DVX1" s="231"/>
      <c r="DVY1" s="231"/>
      <c r="DVZ1" s="231"/>
      <c r="DWA1" s="231"/>
      <c r="DWB1" s="231"/>
      <c r="DWC1" s="231"/>
      <c r="DWD1" s="231"/>
      <c r="DWE1" s="231"/>
      <c r="DWF1" s="231"/>
      <c r="DWG1" s="231"/>
      <c r="DWH1" s="231"/>
      <c r="DWI1" s="231"/>
      <c r="DWJ1" s="231"/>
      <c r="DWK1" s="231"/>
      <c r="DWL1" s="231"/>
      <c r="DWM1" s="231"/>
      <c r="DWN1" s="231"/>
      <c r="DWO1" s="231"/>
      <c r="DWP1" s="231"/>
      <c r="DWQ1" s="231"/>
      <c r="DWR1" s="231"/>
      <c r="DWS1" s="231"/>
      <c r="DWT1" s="231"/>
      <c r="DWU1" s="231"/>
      <c r="DWV1" s="231"/>
      <c r="DWW1" s="231"/>
      <c r="DWX1" s="231"/>
      <c r="DWY1" s="231"/>
      <c r="DWZ1" s="231"/>
      <c r="DXA1" s="231"/>
      <c r="DXB1" s="231"/>
      <c r="DXC1" s="231"/>
      <c r="DXD1" s="231"/>
      <c r="DXE1" s="231"/>
      <c r="DXF1" s="231"/>
      <c r="DXG1" s="231"/>
      <c r="DXH1" s="231"/>
      <c r="DXI1" s="231"/>
      <c r="DXJ1" s="231"/>
      <c r="DXK1" s="231"/>
      <c r="DXL1" s="231"/>
      <c r="DXM1" s="231"/>
      <c r="DXN1" s="231"/>
      <c r="DXO1" s="231"/>
      <c r="DXP1" s="231"/>
      <c r="DXQ1" s="231"/>
      <c r="DXR1" s="231"/>
      <c r="DXS1" s="231"/>
      <c r="DXT1" s="231"/>
      <c r="DXU1" s="231"/>
      <c r="DXV1" s="231"/>
      <c r="DXW1" s="231"/>
      <c r="DXX1" s="231"/>
      <c r="DXY1" s="231"/>
      <c r="DXZ1" s="231"/>
      <c r="DYA1" s="231"/>
      <c r="DYB1" s="231"/>
      <c r="DYC1" s="231"/>
      <c r="DYD1" s="231"/>
      <c r="DYE1" s="231"/>
      <c r="DYF1" s="231"/>
      <c r="DYG1" s="231"/>
      <c r="DYH1" s="231"/>
      <c r="DYI1" s="231"/>
      <c r="DYJ1" s="231"/>
      <c r="DYK1" s="231"/>
      <c r="DYL1" s="231"/>
      <c r="DYM1" s="231"/>
      <c r="DYN1" s="231"/>
      <c r="DYO1" s="231"/>
      <c r="DYP1" s="231"/>
      <c r="DYQ1" s="231"/>
      <c r="DYR1" s="231"/>
      <c r="DYS1" s="231"/>
      <c r="DYT1" s="231"/>
      <c r="DYU1" s="231"/>
      <c r="DYV1" s="231"/>
      <c r="DYW1" s="231"/>
      <c r="DYX1" s="231"/>
      <c r="DYY1" s="231"/>
      <c r="DYZ1" s="231"/>
      <c r="DZA1" s="231"/>
      <c r="DZB1" s="231"/>
      <c r="DZC1" s="231"/>
      <c r="DZD1" s="231"/>
      <c r="DZE1" s="231"/>
      <c r="DZF1" s="231"/>
      <c r="DZG1" s="231"/>
      <c r="DZH1" s="231"/>
      <c r="DZI1" s="231"/>
      <c r="DZJ1" s="231"/>
      <c r="DZK1" s="231"/>
      <c r="DZL1" s="231"/>
      <c r="DZM1" s="231"/>
      <c r="DZN1" s="231"/>
      <c r="DZO1" s="231"/>
      <c r="DZP1" s="231"/>
      <c r="DZQ1" s="231"/>
      <c r="DZR1" s="231"/>
      <c r="DZS1" s="231"/>
      <c r="DZT1" s="231"/>
      <c r="DZU1" s="231"/>
      <c r="DZV1" s="231"/>
      <c r="DZW1" s="231"/>
      <c r="DZX1" s="231"/>
      <c r="DZY1" s="231"/>
      <c r="DZZ1" s="231"/>
      <c r="EAA1" s="231"/>
      <c r="EAB1" s="231"/>
      <c r="EAC1" s="231"/>
      <c r="EAD1" s="231"/>
      <c r="EAE1" s="231"/>
      <c r="EAF1" s="231"/>
      <c r="EAG1" s="231"/>
      <c r="EAH1" s="231"/>
      <c r="EAI1" s="231"/>
      <c r="EAJ1" s="231"/>
      <c r="EAK1" s="231"/>
      <c r="EAL1" s="231"/>
      <c r="EAM1" s="231"/>
      <c r="EAN1" s="231"/>
      <c r="EAO1" s="231"/>
      <c r="EAP1" s="231"/>
      <c r="EAQ1" s="231"/>
      <c r="EAR1" s="231"/>
      <c r="EAS1" s="231"/>
      <c r="EAT1" s="231"/>
      <c r="EAU1" s="231"/>
      <c r="EAV1" s="231"/>
      <c r="EAW1" s="231"/>
      <c r="EAX1" s="231"/>
      <c r="EAY1" s="231"/>
      <c r="EAZ1" s="231"/>
      <c r="EBA1" s="231"/>
      <c r="EBB1" s="231"/>
      <c r="EBC1" s="231"/>
      <c r="EBD1" s="231"/>
      <c r="EBE1" s="231"/>
      <c r="EBF1" s="231"/>
      <c r="EBG1" s="231"/>
      <c r="EBH1" s="231"/>
      <c r="EBI1" s="231"/>
      <c r="EBJ1" s="231"/>
      <c r="EBK1" s="231"/>
      <c r="EBL1" s="231"/>
      <c r="EBM1" s="231"/>
      <c r="EBN1" s="231"/>
      <c r="EBO1" s="231"/>
      <c r="EBP1" s="231"/>
      <c r="EBQ1" s="231"/>
      <c r="EBR1" s="231"/>
      <c r="EBS1" s="231"/>
      <c r="EBT1" s="231"/>
      <c r="EBU1" s="231"/>
      <c r="EBV1" s="231"/>
      <c r="EBW1" s="231"/>
      <c r="EBX1" s="231"/>
      <c r="EBY1" s="231"/>
      <c r="EBZ1" s="231"/>
      <c r="ECA1" s="231"/>
      <c r="ECB1" s="231"/>
      <c r="ECC1" s="231"/>
      <c r="ECD1" s="231"/>
      <c r="ECE1" s="231"/>
      <c r="ECF1" s="231"/>
      <c r="ECG1" s="231"/>
      <c r="ECH1" s="231"/>
      <c r="ECI1" s="231"/>
      <c r="ECJ1" s="231"/>
      <c r="ECK1" s="231"/>
      <c r="ECL1" s="231"/>
      <c r="ECM1" s="231"/>
      <c r="ECN1" s="231"/>
      <c r="ECO1" s="231"/>
      <c r="ECP1" s="231"/>
      <c r="ECQ1" s="231"/>
      <c r="ECR1" s="231"/>
      <c r="ECS1" s="231"/>
      <c r="ECT1" s="231"/>
      <c r="ECU1" s="231"/>
      <c r="ECV1" s="231"/>
      <c r="ECW1" s="231"/>
      <c r="ECX1" s="231"/>
      <c r="ECY1" s="231"/>
      <c r="ECZ1" s="231"/>
      <c r="EDA1" s="231"/>
      <c r="EDB1" s="231"/>
      <c r="EDC1" s="231"/>
      <c r="EDD1" s="231"/>
      <c r="EDE1" s="231"/>
      <c r="EDF1" s="231"/>
      <c r="EDG1" s="231"/>
      <c r="EDH1" s="231"/>
      <c r="EDI1" s="231"/>
      <c r="EDJ1" s="231"/>
      <c r="EDK1" s="231"/>
      <c r="EDL1" s="231"/>
      <c r="EDM1" s="231"/>
      <c r="EDN1" s="231"/>
      <c r="EDO1" s="231"/>
      <c r="EDP1" s="231"/>
      <c r="EDQ1" s="231"/>
      <c r="EDR1" s="231"/>
      <c r="EDS1" s="231"/>
      <c r="EDT1" s="231"/>
      <c r="EDU1" s="231"/>
      <c r="EDV1" s="231"/>
      <c r="EDW1" s="231"/>
      <c r="EDX1" s="231"/>
      <c r="EDY1" s="231"/>
      <c r="EDZ1" s="231"/>
      <c r="EEA1" s="231"/>
      <c r="EEB1" s="231"/>
      <c r="EEC1" s="231"/>
      <c r="EED1" s="231"/>
      <c r="EEE1" s="231"/>
      <c r="EEF1" s="231"/>
      <c r="EEG1" s="231"/>
      <c r="EEH1" s="231"/>
      <c r="EEI1" s="231"/>
      <c r="EEJ1" s="231"/>
      <c r="EEK1" s="231"/>
      <c r="EEL1" s="231"/>
      <c r="EEM1" s="231"/>
      <c r="EEN1" s="231"/>
      <c r="EEO1" s="231"/>
      <c r="EEP1" s="231"/>
      <c r="EEQ1" s="231"/>
      <c r="EER1" s="231"/>
      <c r="EES1" s="231"/>
      <c r="EET1" s="231"/>
      <c r="EEU1" s="231"/>
      <c r="EEV1" s="231"/>
      <c r="EEW1" s="231"/>
      <c r="EEX1" s="231"/>
      <c r="EEY1" s="231"/>
      <c r="EEZ1" s="231"/>
      <c r="EFA1" s="231"/>
      <c r="EFB1" s="231"/>
      <c r="EFC1" s="231"/>
      <c r="EFD1" s="231"/>
      <c r="EFE1" s="231"/>
      <c r="EFF1" s="231"/>
      <c r="EFG1" s="231"/>
      <c r="EFH1" s="231"/>
      <c r="EFI1" s="231"/>
      <c r="EFJ1" s="231"/>
      <c r="EFK1" s="231"/>
      <c r="EFL1" s="231"/>
      <c r="EFM1" s="231"/>
      <c r="EFN1" s="231"/>
      <c r="EFO1" s="231"/>
      <c r="EFP1" s="231"/>
      <c r="EFQ1" s="231"/>
      <c r="EFR1" s="231"/>
      <c r="EFS1" s="231"/>
      <c r="EFT1" s="231"/>
      <c r="EFU1" s="231"/>
      <c r="EFV1" s="231"/>
      <c r="EFW1" s="231"/>
      <c r="EFX1" s="231"/>
      <c r="EFY1" s="231"/>
      <c r="EFZ1" s="231"/>
      <c r="EGA1" s="231"/>
      <c r="EGB1" s="231"/>
      <c r="EGC1" s="231"/>
      <c r="EGD1" s="231"/>
      <c r="EGE1" s="231"/>
      <c r="EGF1" s="231"/>
      <c r="EGG1" s="231"/>
      <c r="EGH1" s="231"/>
      <c r="EGI1" s="231"/>
      <c r="EGJ1" s="231"/>
      <c r="EGK1" s="231"/>
      <c r="EGL1" s="231"/>
      <c r="EGM1" s="231"/>
      <c r="EGN1" s="231"/>
      <c r="EGO1" s="231"/>
      <c r="EGP1" s="231"/>
      <c r="EGQ1" s="231"/>
      <c r="EGR1" s="231"/>
      <c r="EGS1" s="231"/>
      <c r="EGT1" s="231"/>
      <c r="EGU1" s="231"/>
      <c r="EGV1" s="231"/>
      <c r="EGW1" s="231"/>
      <c r="EGX1" s="231"/>
      <c r="EGY1" s="231"/>
      <c r="EGZ1" s="231"/>
      <c r="EHA1" s="231"/>
      <c r="EHB1" s="231"/>
      <c r="EHC1" s="231"/>
      <c r="EHD1" s="231"/>
      <c r="EHE1" s="231"/>
      <c r="EHF1" s="231"/>
      <c r="EHG1" s="231"/>
      <c r="EHH1" s="231"/>
      <c r="EHI1" s="231"/>
      <c r="EHJ1" s="231"/>
      <c r="EHK1" s="231"/>
      <c r="EHL1" s="231"/>
      <c r="EHM1" s="231"/>
      <c r="EHN1" s="231"/>
      <c r="EHO1" s="231"/>
      <c r="EHP1" s="231"/>
      <c r="EHQ1" s="231"/>
      <c r="EHR1" s="231"/>
      <c r="EHS1" s="231"/>
      <c r="EHT1" s="231"/>
      <c r="EHU1" s="231"/>
      <c r="EHV1" s="231"/>
      <c r="EHW1" s="231"/>
      <c r="EHX1" s="231"/>
      <c r="EHY1" s="231"/>
      <c r="EHZ1" s="231"/>
      <c r="EIA1" s="231"/>
      <c r="EIB1" s="231"/>
      <c r="EIC1" s="231"/>
      <c r="EID1" s="231"/>
      <c r="EIE1" s="231"/>
      <c r="EIF1" s="231"/>
      <c r="EIG1" s="231"/>
      <c r="EIH1" s="231"/>
      <c r="EII1" s="231"/>
      <c r="EIJ1" s="231"/>
      <c r="EIK1" s="231"/>
      <c r="EIL1" s="231"/>
      <c r="EIM1" s="231"/>
      <c r="EIN1" s="231"/>
      <c r="EIO1" s="231"/>
      <c r="EIP1" s="231"/>
      <c r="EIQ1" s="231"/>
      <c r="EIR1" s="231"/>
      <c r="EIS1" s="231"/>
      <c r="EIT1" s="231"/>
      <c r="EIU1" s="231"/>
      <c r="EIV1" s="231"/>
      <c r="EIW1" s="231"/>
      <c r="EIX1" s="231"/>
      <c r="EIY1" s="231"/>
      <c r="EIZ1" s="231"/>
      <c r="EJA1" s="231"/>
      <c r="EJB1" s="231"/>
      <c r="EJC1" s="231"/>
      <c r="EJD1" s="231"/>
      <c r="EJE1" s="231"/>
      <c r="EJF1" s="231"/>
      <c r="EJG1" s="231"/>
      <c r="EJH1" s="231"/>
      <c r="EJI1" s="231"/>
      <c r="EJJ1" s="231"/>
      <c r="EJK1" s="231"/>
      <c r="EJL1" s="231"/>
      <c r="EJM1" s="231"/>
      <c r="EJN1" s="231"/>
      <c r="EJO1" s="231"/>
      <c r="EJP1" s="231"/>
      <c r="EJQ1" s="231"/>
      <c r="EJR1" s="231"/>
      <c r="EJS1" s="231"/>
      <c r="EJT1" s="231"/>
      <c r="EJU1" s="231"/>
      <c r="EJV1" s="231"/>
      <c r="EJW1" s="231"/>
      <c r="EJX1" s="231"/>
      <c r="EJY1" s="231"/>
      <c r="EJZ1" s="231"/>
      <c r="EKA1" s="231"/>
      <c r="EKB1" s="231"/>
      <c r="EKC1" s="231"/>
      <c r="EKD1" s="231"/>
      <c r="EKE1" s="231"/>
      <c r="EKF1" s="231"/>
      <c r="EKG1" s="231"/>
      <c r="EKH1" s="231"/>
      <c r="EKI1" s="231"/>
      <c r="EKJ1" s="231"/>
      <c r="EKK1" s="231"/>
      <c r="EKL1" s="231"/>
      <c r="EKM1" s="231"/>
      <c r="EKN1" s="231"/>
      <c r="EKO1" s="231"/>
      <c r="EKP1" s="231"/>
      <c r="EKQ1" s="231"/>
      <c r="EKR1" s="231"/>
      <c r="EKS1" s="231"/>
      <c r="EKT1" s="231"/>
      <c r="EKU1" s="231"/>
      <c r="EKV1" s="231"/>
      <c r="EKW1" s="231"/>
      <c r="EKX1" s="231"/>
      <c r="EKY1" s="231"/>
      <c r="EKZ1" s="231"/>
      <c r="ELA1" s="231"/>
      <c r="ELB1" s="231"/>
      <c r="ELC1" s="231"/>
      <c r="ELD1" s="231"/>
      <c r="ELE1" s="231"/>
      <c r="ELF1" s="231"/>
      <c r="ELG1" s="231"/>
      <c r="ELH1" s="231"/>
      <c r="ELI1" s="231"/>
      <c r="ELJ1" s="231"/>
      <c r="ELK1" s="231"/>
      <c r="ELL1" s="231"/>
      <c r="ELM1" s="231"/>
      <c r="ELN1" s="231"/>
      <c r="ELO1" s="231"/>
      <c r="ELP1" s="231"/>
      <c r="ELQ1" s="231"/>
      <c r="ELR1" s="231"/>
      <c r="ELS1" s="231"/>
      <c r="ELT1" s="231"/>
      <c r="ELU1" s="231"/>
      <c r="ELV1" s="231"/>
      <c r="ELW1" s="231"/>
      <c r="ELX1" s="231"/>
      <c r="ELY1" s="231"/>
      <c r="ELZ1" s="231"/>
      <c r="EMA1" s="231"/>
      <c r="EMB1" s="231"/>
      <c r="EMC1" s="231"/>
      <c r="EMD1" s="231"/>
      <c r="EME1" s="231"/>
      <c r="EMF1" s="231"/>
      <c r="EMG1" s="231"/>
      <c r="EMH1" s="231"/>
      <c r="EMI1" s="231"/>
      <c r="EMJ1" s="231"/>
      <c r="EMK1" s="231"/>
      <c r="EML1" s="231"/>
      <c r="EMM1" s="231"/>
      <c r="EMN1" s="231"/>
      <c r="EMO1" s="231"/>
      <c r="EMP1" s="231"/>
      <c r="EMQ1" s="231"/>
      <c r="EMR1" s="231"/>
      <c r="EMS1" s="231"/>
      <c r="EMT1" s="231"/>
      <c r="EMU1" s="231"/>
      <c r="EMV1" s="231"/>
      <c r="EMW1" s="231"/>
      <c r="EMX1" s="231"/>
      <c r="EMY1" s="231"/>
      <c r="EMZ1" s="231"/>
      <c r="ENA1" s="231"/>
      <c r="ENB1" s="231"/>
      <c r="ENC1" s="231"/>
      <c r="END1" s="231"/>
      <c r="ENE1" s="231"/>
      <c r="ENF1" s="231"/>
      <c r="ENG1" s="231"/>
      <c r="ENH1" s="231"/>
      <c r="ENI1" s="231"/>
      <c r="ENJ1" s="231"/>
      <c r="ENK1" s="231"/>
      <c r="ENL1" s="231"/>
      <c r="ENM1" s="231"/>
      <c r="ENN1" s="231"/>
      <c r="ENO1" s="231"/>
      <c r="ENP1" s="231"/>
      <c r="ENQ1" s="231"/>
      <c r="ENR1" s="231"/>
      <c r="ENS1" s="231"/>
      <c r="ENT1" s="231"/>
      <c r="ENU1" s="231"/>
      <c r="ENV1" s="231"/>
      <c r="ENW1" s="231"/>
      <c r="ENX1" s="231"/>
      <c r="ENY1" s="231"/>
      <c r="ENZ1" s="231"/>
      <c r="EOA1" s="231"/>
      <c r="EOB1" s="231"/>
      <c r="EOC1" s="231"/>
      <c r="EOD1" s="231"/>
      <c r="EOE1" s="231"/>
      <c r="EOF1" s="231"/>
      <c r="EOG1" s="231"/>
      <c r="EOH1" s="231"/>
      <c r="EOI1" s="231"/>
      <c r="EOJ1" s="231"/>
      <c r="EOK1" s="231"/>
      <c r="EOL1" s="231"/>
      <c r="EOM1" s="231"/>
      <c r="EON1" s="231"/>
      <c r="EOO1" s="231"/>
      <c r="EOP1" s="231"/>
      <c r="EOQ1" s="231"/>
      <c r="EOR1" s="231"/>
      <c r="EOS1" s="231"/>
      <c r="EOT1" s="231"/>
      <c r="EOU1" s="231"/>
      <c r="EOV1" s="231"/>
      <c r="EOW1" s="231"/>
      <c r="EOX1" s="231"/>
      <c r="EOY1" s="231"/>
      <c r="EOZ1" s="231"/>
      <c r="EPA1" s="231"/>
      <c r="EPB1" s="231"/>
      <c r="EPC1" s="231"/>
      <c r="EPD1" s="231"/>
      <c r="EPE1" s="231"/>
      <c r="EPF1" s="231"/>
      <c r="EPG1" s="231"/>
      <c r="EPH1" s="231"/>
      <c r="EPI1" s="231"/>
      <c r="EPJ1" s="231"/>
      <c r="EPK1" s="231"/>
      <c r="EPL1" s="231"/>
      <c r="EPM1" s="231"/>
      <c r="EPN1" s="231"/>
      <c r="EPO1" s="231"/>
      <c r="EPP1" s="231"/>
      <c r="EPQ1" s="231"/>
      <c r="EPR1" s="231"/>
      <c r="EPS1" s="231"/>
      <c r="EPT1" s="231"/>
      <c r="EPU1" s="231"/>
      <c r="EPV1" s="231"/>
      <c r="EPW1" s="231"/>
      <c r="EPX1" s="231"/>
      <c r="EPY1" s="231"/>
      <c r="EPZ1" s="231"/>
      <c r="EQA1" s="231"/>
      <c r="EQB1" s="231"/>
      <c r="EQC1" s="231"/>
      <c r="EQD1" s="231"/>
      <c r="EQE1" s="231"/>
      <c r="EQF1" s="231"/>
      <c r="EQG1" s="231"/>
      <c r="EQH1" s="231"/>
      <c r="EQI1" s="231"/>
      <c r="EQJ1" s="231"/>
      <c r="EQK1" s="231"/>
      <c r="EQL1" s="231"/>
      <c r="EQM1" s="231"/>
      <c r="EQN1" s="231"/>
      <c r="EQO1" s="231"/>
      <c r="EQP1" s="231"/>
      <c r="EQQ1" s="231"/>
      <c r="EQR1" s="231"/>
      <c r="EQS1" s="231"/>
      <c r="EQT1" s="231"/>
      <c r="EQU1" s="231"/>
      <c r="EQV1" s="231"/>
      <c r="EQW1" s="231"/>
      <c r="EQX1" s="231"/>
      <c r="EQY1" s="231"/>
      <c r="EQZ1" s="231"/>
      <c r="ERA1" s="231"/>
      <c r="ERB1" s="231"/>
      <c r="ERC1" s="231"/>
      <c r="ERD1" s="231"/>
      <c r="ERE1" s="231"/>
      <c r="ERF1" s="231"/>
      <c r="ERG1" s="231"/>
      <c r="ERH1" s="231"/>
      <c r="ERI1" s="231"/>
      <c r="ERJ1" s="231"/>
      <c r="ERK1" s="231"/>
      <c r="ERL1" s="231"/>
      <c r="ERM1" s="231"/>
      <c r="ERN1" s="231"/>
      <c r="ERO1" s="231"/>
      <c r="ERP1" s="231"/>
      <c r="ERQ1" s="231"/>
      <c r="ERR1" s="231"/>
      <c r="ERS1" s="231"/>
      <c r="ERT1" s="231"/>
      <c r="ERU1" s="231"/>
      <c r="ERV1" s="231"/>
      <c r="ERW1" s="231"/>
      <c r="ERX1" s="231"/>
      <c r="ERY1" s="231"/>
      <c r="ERZ1" s="231"/>
      <c r="ESA1" s="231"/>
      <c r="ESB1" s="231"/>
      <c r="ESC1" s="231"/>
      <c r="ESD1" s="231"/>
      <c r="ESE1" s="231"/>
      <c r="ESF1" s="231"/>
      <c r="ESG1" s="231"/>
      <c r="ESH1" s="231"/>
      <c r="ESI1" s="231"/>
      <c r="ESJ1" s="231"/>
      <c r="ESK1" s="231"/>
      <c r="ESL1" s="231"/>
      <c r="ESM1" s="231"/>
      <c r="ESN1" s="231"/>
      <c r="ESO1" s="231"/>
      <c r="ESP1" s="231"/>
      <c r="ESQ1" s="231"/>
      <c r="ESR1" s="231"/>
      <c r="ESS1" s="231"/>
      <c r="EST1" s="231"/>
      <c r="ESU1" s="231"/>
      <c r="ESV1" s="231"/>
      <c r="ESW1" s="231"/>
      <c r="ESX1" s="231"/>
      <c r="ESY1" s="231"/>
      <c r="ESZ1" s="231"/>
      <c r="ETA1" s="231"/>
      <c r="ETB1" s="231"/>
      <c r="ETC1" s="231"/>
      <c r="ETD1" s="231"/>
      <c r="ETE1" s="231"/>
      <c r="ETF1" s="231"/>
      <c r="ETG1" s="231"/>
      <c r="ETH1" s="231"/>
      <c r="ETI1" s="231"/>
      <c r="ETJ1" s="231"/>
      <c r="ETK1" s="231"/>
      <c r="ETL1" s="231"/>
      <c r="ETM1" s="231"/>
      <c r="ETN1" s="231"/>
      <c r="ETO1" s="231"/>
      <c r="ETP1" s="231"/>
      <c r="ETQ1" s="231"/>
      <c r="ETR1" s="231"/>
      <c r="ETS1" s="231"/>
      <c r="ETT1" s="231"/>
      <c r="ETU1" s="231"/>
      <c r="ETV1" s="231"/>
      <c r="ETW1" s="231"/>
      <c r="ETX1" s="231"/>
      <c r="ETY1" s="231"/>
      <c r="ETZ1" s="231"/>
      <c r="EUA1" s="231"/>
      <c r="EUB1" s="231"/>
      <c r="EUC1" s="231"/>
      <c r="EUD1" s="231"/>
      <c r="EUE1" s="231"/>
      <c r="EUF1" s="231"/>
      <c r="EUG1" s="231"/>
      <c r="EUH1" s="231"/>
      <c r="EUI1" s="231"/>
      <c r="EUJ1" s="231"/>
      <c r="EUK1" s="231"/>
      <c r="EUL1" s="231"/>
      <c r="EUM1" s="231"/>
      <c r="EUN1" s="231"/>
      <c r="EUO1" s="231"/>
      <c r="EUP1" s="231"/>
      <c r="EUQ1" s="231"/>
      <c r="EUR1" s="231"/>
      <c r="EUS1" s="231"/>
      <c r="EUT1" s="231"/>
      <c r="EUU1" s="231"/>
      <c r="EUV1" s="231"/>
      <c r="EUW1" s="231"/>
      <c r="EUX1" s="231"/>
      <c r="EUY1" s="231"/>
      <c r="EUZ1" s="231"/>
      <c r="EVA1" s="231"/>
      <c r="EVB1" s="231"/>
      <c r="EVC1" s="231"/>
      <c r="EVD1" s="231"/>
      <c r="EVE1" s="231"/>
      <c r="EVF1" s="231"/>
      <c r="EVG1" s="231"/>
      <c r="EVH1" s="231"/>
      <c r="EVI1" s="231"/>
      <c r="EVJ1" s="231"/>
      <c r="EVK1" s="231"/>
      <c r="EVL1" s="231"/>
      <c r="EVM1" s="231"/>
      <c r="EVN1" s="231"/>
      <c r="EVO1" s="231"/>
      <c r="EVP1" s="231"/>
      <c r="EVQ1" s="231"/>
      <c r="EVR1" s="231"/>
      <c r="EVS1" s="231"/>
      <c r="EVT1" s="231"/>
      <c r="EVU1" s="231"/>
      <c r="EVV1" s="231"/>
      <c r="EVW1" s="231"/>
      <c r="EVX1" s="231"/>
      <c r="EVY1" s="231"/>
      <c r="EVZ1" s="231"/>
      <c r="EWA1" s="231"/>
      <c r="EWB1" s="231"/>
      <c r="EWC1" s="231"/>
      <c r="EWD1" s="231"/>
      <c r="EWE1" s="231"/>
      <c r="EWF1" s="231"/>
      <c r="EWG1" s="231"/>
      <c r="EWH1" s="231"/>
      <c r="EWI1" s="231"/>
      <c r="EWJ1" s="231"/>
      <c r="EWK1" s="231"/>
      <c r="EWL1" s="231"/>
      <c r="EWM1" s="231"/>
      <c r="EWN1" s="231"/>
      <c r="EWO1" s="231"/>
      <c r="EWP1" s="231"/>
      <c r="EWQ1" s="231"/>
      <c r="EWR1" s="231"/>
      <c r="EWS1" s="231"/>
      <c r="EWT1" s="231"/>
      <c r="EWU1" s="231"/>
      <c r="EWV1" s="231"/>
      <c r="EWW1" s="231"/>
      <c r="EWX1" s="231"/>
      <c r="EWY1" s="231"/>
      <c r="EWZ1" s="231"/>
      <c r="EXA1" s="231"/>
      <c r="EXB1" s="231"/>
      <c r="EXC1" s="231"/>
      <c r="EXD1" s="231"/>
      <c r="EXE1" s="231"/>
      <c r="EXF1" s="231"/>
      <c r="EXG1" s="231"/>
      <c r="EXH1" s="231"/>
      <c r="EXI1" s="231"/>
      <c r="EXJ1" s="231"/>
      <c r="EXK1" s="231"/>
      <c r="EXL1" s="231"/>
      <c r="EXM1" s="231"/>
      <c r="EXN1" s="231"/>
      <c r="EXO1" s="231"/>
      <c r="EXP1" s="231"/>
      <c r="EXQ1" s="231"/>
      <c r="EXR1" s="231"/>
      <c r="EXS1" s="231"/>
      <c r="EXT1" s="231"/>
      <c r="EXU1" s="231"/>
      <c r="EXV1" s="231"/>
      <c r="EXW1" s="231"/>
      <c r="EXX1" s="231"/>
      <c r="EXY1" s="231"/>
      <c r="EXZ1" s="231"/>
      <c r="EYA1" s="231"/>
      <c r="EYB1" s="231"/>
      <c r="EYC1" s="231"/>
      <c r="EYD1" s="231"/>
      <c r="EYE1" s="231"/>
      <c r="EYF1" s="231"/>
      <c r="EYG1" s="231"/>
      <c r="EYH1" s="231"/>
      <c r="EYI1" s="231"/>
      <c r="EYJ1" s="231"/>
      <c r="EYK1" s="231"/>
      <c r="EYL1" s="231"/>
      <c r="EYM1" s="231"/>
      <c r="EYN1" s="231"/>
      <c r="EYO1" s="231"/>
      <c r="EYP1" s="231"/>
      <c r="EYQ1" s="231"/>
      <c r="EYR1" s="231"/>
      <c r="EYS1" s="231"/>
      <c r="EYT1" s="231"/>
      <c r="EYU1" s="231"/>
      <c r="EYV1" s="231"/>
      <c r="EYW1" s="231"/>
      <c r="EYX1" s="231"/>
      <c r="EYY1" s="231"/>
      <c r="EYZ1" s="231"/>
      <c r="EZA1" s="231"/>
      <c r="EZB1" s="231"/>
      <c r="EZC1" s="231"/>
      <c r="EZD1" s="231"/>
      <c r="EZE1" s="231"/>
      <c r="EZF1" s="231"/>
      <c r="EZG1" s="231"/>
      <c r="EZH1" s="231"/>
      <c r="EZI1" s="231"/>
      <c r="EZJ1" s="231"/>
      <c r="EZK1" s="231"/>
      <c r="EZL1" s="231"/>
      <c r="EZM1" s="231"/>
      <c r="EZN1" s="231"/>
      <c r="EZO1" s="231"/>
      <c r="EZP1" s="231"/>
      <c r="EZQ1" s="231"/>
      <c r="EZR1" s="231"/>
      <c r="EZS1" s="231"/>
      <c r="EZT1" s="231"/>
      <c r="EZU1" s="231"/>
      <c r="EZV1" s="231"/>
      <c r="EZW1" s="231"/>
      <c r="EZX1" s="231"/>
      <c r="EZY1" s="231"/>
      <c r="EZZ1" s="231"/>
      <c r="FAA1" s="231"/>
      <c r="FAB1" s="231"/>
      <c r="FAC1" s="231"/>
      <c r="FAD1" s="231"/>
      <c r="FAE1" s="231"/>
      <c r="FAF1" s="231"/>
      <c r="FAG1" s="231"/>
      <c r="FAH1" s="231"/>
      <c r="FAI1" s="231"/>
      <c r="FAJ1" s="231"/>
      <c r="FAK1" s="231"/>
      <c r="FAL1" s="231"/>
      <c r="FAM1" s="231"/>
      <c r="FAN1" s="231"/>
      <c r="FAO1" s="231"/>
      <c r="FAP1" s="231"/>
      <c r="FAQ1" s="231"/>
      <c r="FAR1" s="231"/>
      <c r="FAS1" s="231"/>
      <c r="FAT1" s="231"/>
      <c r="FAU1" s="231"/>
      <c r="FAV1" s="231"/>
      <c r="FAW1" s="231"/>
      <c r="FAX1" s="231"/>
      <c r="FAY1" s="231"/>
      <c r="FAZ1" s="231"/>
      <c r="FBA1" s="231"/>
      <c r="FBB1" s="231"/>
      <c r="FBC1" s="231"/>
      <c r="FBD1" s="231"/>
      <c r="FBE1" s="231"/>
      <c r="FBF1" s="231"/>
      <c r="FBG1" s="231"/>
      <c r="FBH1" s="231"/>
      <c r="FBI1" s="231"/>
      <c r="FBJ1" s="231"/>
      <c r="FBK1" s="231"/>
      <c r="FBL1" s="231"/>
      <c r="FBM1" s="231"/>
      <c r="FBN1" s="231"/>
      <c r="FBO1" s="231"/>
      <c r="FBP1" s="231"/>
      <c r="FBQ1" s="231"/>
      <c r="FBR1" s="231"/>
      <c r="FBS1" s="231"/>
      <c r="FBT1" s="231"/>
      <c r="FBU1" s="231"/>
      <c r="FBV1" s="231"/>
      <c r="FBW1" s="231"/>
      <c r="FBX1" s="231"/>
      <c r="FBY1" s="231"/>
      <c r="FBZ1" s="231"/>
      <c r="FCA1" s="231"/>
      <c r="FCB1" s="231"/>
      <c r="FCC1" s="231"/>
      <c r="FCD1" s="231"/>
      <c r="FCE1" s="231"/>
      <c r="FCF1" s="231"/>
      <c r="FCG1" s="231"/>
      <c r="FCH1" s="231"/>
      <c r="FCI1" s="231"/>
      <c r="FCJ1" s="231"/>
      <c r="FCK1" s="231"/>
      <c r="FCL1" s="231"/>
      <c r="FCM1" s="231"/>
      <c r="FCN1" s="231"/>
      <c r="FCO1" s="231"/>
      <c r="FCP1" s="231"/>
      <c r="FCQ1" s="231"/>
      <c r="FCR1" s="231"/>
      <c r="FCS1" s="231"/>
      <c r="FCT1" s="231"/>
      <c r="FCU1" s="231"/>
      <c r="FCV1" s="231"/>
      <c r="FCW1" s="231"/>
      <c r="FCX1" s="231"/>
      <c r="FCY1" s="231"/>
      <c r="FCZ1" s="231"/>
      <c r="FDA1" s="231"/>
      <c r="FDB1" s="231"/>
      <c r="FDC1" s="231"/>
      <c r="FDD1" s="231"/>
      <c r="FDE1" s="231"/>
      <c r="FDF1" s="231"/>
      <c r="FDG1" s="231"/>
      <c r="FDH1" s="231"/>
      <c r="FDI1" s="231"/>
      <c r="FDJ1" s="231"/>
      <c r="FDK1" s="231"/>
      <c r="FDL1" s="231"/>
      <c r="FDM1" s="231"/>
      <c r="FDN1" s="231"/>
      <c r="FDO1" s="231"/>
      <c r="FDP1" s="231"/>
      <c r="FDQ1" s="231"/>
      <c r="FDR1" s="231"/>
      <c r="FDS1" s="231"/>
      <c r="FDT1" s="231"/>
      <c r="FDU1" s="231"/>
      <c r="FDV1" s="231"/>
      <c r="FDW1" s="231"/>
      <c r="FDX1" s="231"/>
      <c r="FDY1" s="231"/>
      <c r="FDZ1" s="231"/>
      <c r="FEA1" s="231"/>
      <c r="FEB1" s="231"/>
      <c r="FEC1" s="231"/>
      <c r="FED1" s="231"/>
      <c r="FEE1" s="231"/>
      <c r="FEF1" s="231"/>
      <c r="FEG1" s="231"/>
      <c r="FEH1" s="231"/>
      <c r="FEI1" s="231"/>
      <c r="FEJ1" s="231"/>
      <c r="FEK1" s="231"/>
      <c r="FEL1" s="231"/>
      <c r="FEM1" s="231"/>
      <c r="FEN1" s="231"/>
      <c r="FEO1" s="231"/>
      <c r="FEP1" s="231"/>
      <c r="FEQ1" s="231"/>
      <c r="FER1" s="231"/>
      <c r="FES1" s="231"/>
      <c r="FET1" s="231"/>
      <c r="FEU1" s="231"/>
      <c r="FEV1" s="231"/>
      <c r="FEW1" s="231"/>
      <c r="FEX1" s="231"/>
      <c r="FEY1" s="231"/>
      <c r="FEZ1" s="231"/>
      <c r="FFA1" s="231"/>
      <c r="FFB1" s="231"/>
      <c r="FFC1" s="231"/>
      <c r="FFD1" s="231"/>
      <c r="FFE1" s="231"/>
      <c r="FFF1" s="231"/>
      <c r="FFG1" s="231"/>
      <c r="FFH1" s="231"/>
      <c r="FFI1" s="231"/>
      <c r="FFJ1" s="231"/>
      <c r="FFK1" s="231"/>
      <c r="FFL1" s="231"/>
      <c r="FFM1" s="231"/>
      <c r="FFN1" s="231"/>
      <c r="FFO1" s="231"/>
      <c r="FFP1" s="231"/>
      <c r="FFQ1" s="231"/>
      <c r="FFR1" s="231"/>
      <c r="FFS1" s="231"/>
      <c r="FFT1" s="231"/>
      <c r="FFU1" s="231"/>
      <c r="FFV1" s="231"/>
      <c r="FFW1" s="231"/>
      <c r="FFX1" s="231"/>
      <c r="FFY1" s="231"/>
      <c r="FFZ1" s="231"/>
      <c r="FGA1" s="231"/>
      <c r="FGB1" s="231"/>
      <c r="FGC1" s="231"/>
      <c r="FGD1" s="231"/>
      <c r="FGE1" s="231"/>
      <c r="FGF1" s="231"/>
      <c r="FGG1" s="231"/>
      <c r="FGH1" s="231"/>
      <c r="FGI1" s="231"/>
      <c r="FGJ1" s="231"/>
      <c r="FGK1" s="231"/>
      <c r="FGL1" s="231"/>
      <c r="FGM1" s="231"/>
      <c r="FGN1" s="231"/>
      <c r="FGO1" s="231"/>
      <c r="FGP1" s="231"/>
      <c r="FGQ1" s="231"/>
      <c r="FGR1" s="231"/>
      <c r="FGS1" s="231"/>
      <c r="FGT1" s="231"/>
      <c r="FGU1" s="231"/>
      <c r="FGV1" s="231"/>
      <c r="FGW1" s="231"/>
      <c r="FGX1" s="231"/>
      <c r="FGY1" s="231"/>
      <c r="FGZ1" s="231"/>
      <c r="FHA1" s="231"/>
      <c r="FHB1" s="231"/>
      <c r="FHC1" s="231"/>
      <c r="FHD1" s="231"/>
      <c r="FHE1" s="231"/>
      <c r="FHF1" s="231"/>
      <c r="FHG1" s="231"/>
      <c r="FHH1" s="231"/>
      <c r="FHI1" s="231"/>
      <c r="FHJ1" s="231"/>
      <c r="FHK1" s="231"/>
      <c r="FHL1" s="231"/>
      <c r="FHM1" s="231"/>
      <c r="FHN1" s="231"/>
      <c r="FHO1" s="231"/>
      <c r="FHP1" s="231"/>
      <c r="FHQ1" s="231"/>
      <c r="FHR1" s="231"/>
      <c r="FHS1" s="231"/>
      <c r="FHT1" s="231"/>
      <c r="FHU1" s="231"/>
      <c r="FHV1" s="231"/>
      <c r="FHW1" s="231"/>
      <c r="FHX1" s="231"/>
      <c r="FHY1" s="231"/>
      <c r="FHZ1" s="231"/>
      <c r="FIA1" s="231"/>
      <c r="FIB1" s="231"/>
      <c r="FIC1" s="231"/>
      <c r="FID1" s="231"/>
      <c r="FIE1" s="231"/>
      <c r="FIF1" s="231"/>
      <c r="FIG1" s="231"/>
      <c r="FIH1" s="231"/>
      <c r="FII1" s="231"/>
      <c r="FIJ1" s="231"/>
      <c r="FIK1" s="231"/>
      <c r="FIL1" s="231"/>
      <c r="FIM1" s="231"/>
      <c r="FIN1" s="231"/>
      <c r="FIO1" s="231"/>
      <c r="FIP1" s="231"/>
      <c r="FIQ1" s="231"/>
      <c r="FIR1" s="231"/>
      <c r="FIS1" s="231"/>
      <c r="FIT1" s="231"/>
      <c r="FIU1" s="231"/>
      <c r="FIV1" s="231"/>
      <c r="FIW1" s="231"/>
      <c r="FIX1" s="231"/>
      <c r="FIY1" s="231"/>
      <c r="FIZ1" s="231"/>
      <c r="FJA1" s="231"/>
      <c r="FJB1" s="231"/>
      <c r="FJC1" s="231"/>
      <c r="FJD1" s="231"/>
      <c r="FJE1" s="231"/>
      <c r="FJF1" s="231"/>
      <c r="FJG1" s="231"/>
      <c r="FJH1" s="231"/>
      <c r="FJI1" s="231"/>
      <c r="FJJ1" s="231"/>
      <c r="FJK1" s="231"/>
      <c r="FJL1" s="231"/>
      <c r="FJM1" s="231"/>
      <c r="FJN1" s="231"/>
      <c r="FJO1" s="231"/>
      <c r="FJP1" s="231"/>
      <c r="FJQ1" s="231"/>
      <c r="FJR1" s="231"/>
      <c r="FJS1" s="231"/>
      <c r="FJT1" s="231"/>
      <c r="FJU1" s="231"/>
      <c r="FJV1" s="231"/>
      <c r="FJW1" s="231"/>
      <c r="FJX1" s="231"/>
      <c r="FJY1" s="231"/>
      <c r="FJZ1" s="231"/>
      <c r="FKA1" s="231"/>
      <c r="FKB1" s="231"/>
      <c r="FKC1" s="231"/>
      <c r="FKD1" s="231"/>
      <c r="FKE1" s="231"/>
      <c r="FKF1" s="231"/>
      <c r="FKG1" s="231"/>
      <c r="FKH1" s="231"/>
      <c r="FKI1" s="231"/>
      <c r="FKJ1" s="231"/>
      <c r="FKK1" s="231"/>
      <c r="FKL1" s="231"/>
      <c r="FKM1" s="231"/>
      <c r="FKN1" s="231"/>
      <c r="FKO1" s="231"/>
      <c r="FKP1" s="231"/>
      <c r="FKQ1" s="231"/>
      <c r="FKR1" s="231"/>
      <c r="FKS1" s="231"/>
      <c r="FKT1" s="231"/>
      <c r="FKU1" s="231"/>
      <c r="FKV1" s="231"/>
      <c r="FKW1" s="231"/>
      <c r="FKX1" s="231"/>
      <c r="FKY1" s="231"/>
      <c r="FKZ1" s="231"/>
      <c r="FLA1" s="231"/>
      <c r="FLB1" s="231"/>
      <c r="FLC1" s="231"/>
      <c r="FLD1" s="231"/>
      <c r="FLE1" s="231"/>
      <c r="FLF1" s="231"/>
      <c r="FLG1" s="231"/>
      <c r="FLH1" s="231"/>
      <c r="FLI1" s="231"/>
      <c r="FLJ1" s="231"/>
      <c r="FLK1" s="231"/>
      <c r="FLL1" s="231"/>
      <c r="FLM1" s="231"/>
      <c r="FLN1" s="231"/>
      <c r="FLO1" s="231"/>
      <c r="FLP1" s="231"/>
      <c r="FLQ1" s="231"/>
      <c r="FLR1" s="231"/>
      <c r="FLS1" s="231"/>
      <c r="FLT1" s="231"/>
      <c r="FLU1" s="231"/>
      <c r="FLV1" s="231"/>
      <c r="FLW1" s="231"/>
      <c r="FLX1" s="231"/>
      <c r="FLY1" s="231"/>
      <c r="FLZ1" s="231"/>
      <c r="FMA1" s="231"/>
      <c r="FMB1" s="231"/>
      <c r="FMC1" s="231"/>
      <c r="FMD1" s="231"/>
      <c r="FME1" s="231"/>
      <c r="FMF1" s="231"/>
      <c r="FMG1" s="231"/>
      <c r="FMH1" s="231"/>
      <c r="FMI1" s="231"/>
      <c r="FMJ1" s="231"/>
      <c r="FMK1" s="231"/>
      <c r="FML1" s="231"/>
      <c r="FMM1" s="231"/>
      <c r="FMN1" s="231"/>
      <c r="FMO1" s="231"/>
      <c r="FMP1" s="231"/>
      <c r="FMQ1" s="231"/>
      <c r="FMR1" s="231"/>
      <c r="FMS1" s="231"/>
      <c r="FMT1" s="231"/>
      <c r="FMU1" s="231"/>
      <c r="FMV1" s="231"/>
      <c r="FMW1" s="231"/>
      <c r="FMX1" s="231"/>
      <c r="FMY1" s="231"/>
      <c r="FMZ1" s="231"/>
      <c r="FNA1" s="231"/>
      <c r="FNB1" s="231"/>
      <c r="FNC1" s="231"/>
      <c r="FND1" s="231"/>
      <c r="FNE1" s="231"/>
      <c r="FNF1" s="231"/>
      <c r="FNG1" s="231"/>
      <c r="FNH1" s="231"/>
      <c r="FNI1" s="231"/>
      <c r="FNJ1" s="231"/>
      <c r="FNK1" s="231"/>
      <c r="FNL1" s="231"/>
      <c r="FNM1" s="231"/>
      <c r="FNN1" s="231"/>
      <c r="FNO1" s="231"/>
      <c r="FNP1" s="231"/>
      <c r="FNQ1" s="231"/>
      <c r="FNR1" s="231"/>
      <c r="FNS1" s="231"/>
      <c r="FNT1" s="231"/>
      <c r="FNU1" s="231"/>
      <c r="FNV1" s="231"/>
      <c r="FNW1" s="231"/>
      <c r="FNX1" s="231"/>
      <c r="FNY1" s="231"/>
      <c r="FNZ1" s="231"/>
      <c r="FOA1" s="231"/>
      <c r="FOB1" s="231"/>
      <c r="FOC1" s="231"/>
      <c r="FOD1" s="231"/>
      <c r="FOE1" s="231"/>
      <c r="FOF1" s="231"/>
      <c r="FOG1" s="231"/>
      <c r="FOH1" s="231"/>
      <c r="FOI1" s="231"/>
      <c r="FOJ1" s="231"/>
      <c r="FOK1" s="231"/>
      <c r="FOL1" s="231"/>
      <c r="FOM1" s="231"/>
      <c r="FON1" s="231"/>
      <c r="FOO1" s="231"/>
      <c r="FOP1" s="231"/>
      <c r="FOQ1" s="231"/>
      <c r="FOR1" s="231"/>
      <c r="FOS1" s="231"/>
      <c r="FOT1" s="231"/>
      <c r="FOU1" s="231"/>
      <c r="FOV1" s="231"/>
      <c r="FOW1" s="231"/>
      <c r="FOX1" s="231"/>
      <c r="FOY1" s="231"/>
      <c r="FOZ1" s="231"/>
      <c r="FPA1" s="231"/>
      <c r="FPB1" s="231"/>
      <c r="FPC1" s="231"/>
      <c r="FPD1" s="231"/>
      <c r="FPE1" s="231"/>
      <c r="FPF1" s="231"/>
      <c r="FPG1" s="231"/>
      <c r="FPH1" s="231"/>
      <c r="FPI1" s="231"/>
      <c r="FPJ1" s="231"/>
      <c r="FPK1" s="231"/>
      <c r="FPL1" s="231"/>
      <c r="FPM1" s="231"/>
      <c r="FPN1" s="231"/>
      <c r="FPO1" s="231"/>
      <c r="FPP1" s="231"/>
      <c r="FPQ1" s="231"/>
      <c r="FPR1" s="231"/>
      <c r="FPS1" s="231"/>
      <c r="FPT1" s="231"/>
      <c r="FPU1" s="231"/>
      <c r="FPV1" s="231"/>
      <c r="FPW1" s="231"/>
      <c r="FPX1" s="231"/>
      <c r="FPY1" s="231"/>
      <c r="FPZ1" s="231"/>
      <c r="FQA1" s="231"/>
      <c r="FQB1" s="231"/>
      <c r="FQC1" s="231"/>
      <c r="FQD1" s="231"/>
      <c r="FQE1" s="231"/>
      <c r="FQF1" s="231"/>
      <c r="FQG1" s="231"/>
      <c r="FQH1" s="231"/>
      <c r="FQI1" s="231"/>
      <c r="FQJ1" s="231"/>
      <c r="FQK1" s="231"/>
      <c r="FQL1" s="231"/>
      <c r="FQM1" s="231"/>
      <c r="FQN1" s="231"/>
      <c r="FQO1" s="231"/>
      <c r="FQP1" s="231"/>
      <c r="FQQ1" s="231"/>
      <c r="FQR1" s="231"/>
      <c r="FQS1" s="231"/>
      <c r="FQT1" s="231"/>
      <c r="FQU1" s="231"/>
      <c r="FQV1" s="231"/>
      <c r="FQW1" s="231"/>
      <c r="FQX1" s="231"/>
      <c r="FQY1" s="231"/>
      <c r="FQZ1" s="231"/>
      <c r="FRA1" s="231"/>
      <c r="FRB1" s="231"/>
      <c r="FRC1" s="231"/>
      <c r="FRD1" s="231"/>
      <c r="FRE1" s="231"/>
      <c r="FRF1" s="231"/>
      <c r="FRG1" s="231"/>
      <c r="FRH1" s="231"/>
      <c r="FRI1" s="231"/>
      <c r="FRJ1" s="231"/>
      <c r="FRK1" s="231"/>
      <c r="FRL1" s="231"/>
      <c r="FRM1" s="231"/>
      <c r="FRN1" s="231"/>
      <c r="FRO1" s="231"/>
      <c r="FRP1" s="231"/>
      <c r="FRQ1" s="231"/>
      <c r="FRR1" s="231"/>
      <c r="FRS1" s="231"/>
      <c r="FRT1" s="231"/>
      <c r="FRU1" s="231"/>
      <c r="FRV1" s="231"/>
      <c r="FRW1" s="231"/>
      <c r="FRX1" s="231"/>
      <c r="FRY1" s="231"/>
      <c r="FRZ1" s="231"/>
      <c r="FSA1" s="231"/>
      <c r="FSB1" s="231"/>
      <c r="FSC1" s="231"/>
      <c r="FSD1" s="231"/>
      <c r="FSE1" s="231"/>
      <c r="FSF1" s="231"/>
      <c r="FSG1" s="231"/>
      <c r="FSH1" s="231"/>
      <c r="FSI1" s="231"/>
      <c r="FSJ1" s="231"/>
      <c r="FSK1" s="231"/>
      <c r="FSL1" s="231"/>
      <c r="FSM1" s="231"/>
      <c r="FSN1" s="231"/>
      <c r="FSO1" s="231"/>
      <c r="FSP1" s="231"/>
      <c r="FSQ1" s="231"/>
      <c r="FSR1" s="231"/>
      <c r="FSS1" s="231"/>
      <c r="FST1" s="231"/>
      <c r="FSU1" s="231"/>
      <c r="FSV1" s="231"/>
      <c r="FSW1" s="231"/>
      <c r="FSX1" s="231"/>
      <c r="FSY1" s="231"/>
      <c r="FSZ1" s="231"/>
      <c r="FTA1" s="231"/>
      <c r="FTB1" s="231"/>
      <c r="FTC1" s="231"/>
      <c r="FTD1" s="231"/>
      <c r="FTE1" s="231"/>
      <c r="FTF1" s="231"/>
      <c r="FTG1" s="231"/>
      <c r="FTH1" s="231"/>
      <c r="FTI1" s="231"/>
      <c r="FTJ1" s="231"/>
      <c r="FTK1" s="231"/>
      <c r="FTL1" s="231"/>
      <c r="FTM1" s="231"/>
      <c r="FTN1" s="231"/>
      <c r="FTO1" s="231"/>
      <c r="FTP1" s="231"/>
      <c r="FTQ1" s="231"/>
      <c r="FTR1" s="231"/>
      <c r="FTS1" s="231"/>
      <c r="FTT1" s="231"/>
      <c r="FTU1" s="231"/>
      <c r="FTV1" s="231"/>
      <c r="FTW1" s="231"/>
      <c r="FTX1" s="231"/>
      <c r="FTY1" s="231"/>
      <c r="FTZ1" s="231"/>
      <c r="FUA1" s="231"/>
      <c r="FUB1" s="231"/>
      <c r="FUC1" s="231"/>
      <c r="FUD1" s="231"/>
      <c r="FUE1" s="231"/>
      <c r="FUF1" s="231"/>
      <c r="FUG1" s="231"/>
      <c r="FUH1" s="231"/>
      <c r="FUI1" s="231"/>
      <c r="FUJ1" s="231"/>
      <c r="FUK1" s="231"/>
      <c r="FUL1" s="231"/>
      <c r="FUM1" s="231"/>
      <c r="FUN1" s="231"/>
      <c r="FUO1" s="231"/>
      <c r="FUP1" s="231"/>
      <c r="FUQ1" s="231"/>
      <c r="FUR1" s="231"/>
      <c r="FUS1" s="231"/>
      <c r="FUT1" s="231"/>
      <c r="FUU1" s="231"/>
      <c r="FUV1" s="231"/>
      <c r="FUW1" s="231"/>
      <c r="FUX1" s="231"/>
      <c r="FUY1" s="231"/>
      <c r="FUZ1" s="231"/>
      <c r="FVA1" s="231"/>
      <c r="FVB1" s="231"/>
      <c r="FVC1" s="231"/>
      <c r="FVD1" s="231"/>
      <c r="FVE1" s="231"/>
      <c r="FVF1" s="231"/>
      <c r="FVG1" s="231"/>
      <c r="FVH1" s="231"/>
      <c r="FVI1" s="231"/>
      <c r="FVJ1" s="231"/>
      <c r="FVK1" s="231"/>
      <c r="FVL1" s="231"/>
      <c r="FVM1" s="231"/>
      <c r="FVN1" s="231"/>
      <c r="FVO1" s="231"/>
      <c r="FVP1" s="231"/>
      <c r="FVQ1" s="231"/>
      <c r="FVR1" s="231"/>
      <c r="FVS1" s="231"/>
      <c r="FVT1" s="231"/>
      <c r="FVU1" s="231"/>
      <c r="FVV1" s="231"/>
      <c r="FVW1" s="231"/>
      <c r="FVX1" s="231"/>
      <c r="FVY1" s="231"/>
      <c r="FVZ1" s="231"/>
      <c r="FWA1" s="231"/>
      <c r="FWB1" s="231"/>
      <c r="FWC1" s="231"/>
      <c r="FWD1" s="231"/>
      <c r="FWE1" s="231"/>
      <c r="FWF1" s="231"/>
      <c r="FWG1" s="231"/>
      <c r="FWH1" s="231"/>
      <c r="FWI1" s="231"/>
      <c r="FWJ1" s="231"/>
      <c r="FWK1" s="231"/>
      <c r="FWL1" s="231"/>
      <c r="FWM1" s="231"/>
      <c r="FWN1" s="231"/>
      <c r="FWO1" s="231"/>
      <c r="FWP1" s="231"/>
      <c r="FWQ1" s="231"/>
      <c r="FWR1" s="231"/>
      <c r="FWS1" s="231"/>
      <c r="FWT1" s="231"/>
      <c r="FWU1" s="231"/>
      <c r="FWV1" s="231"/>
      <c r="FWW1" s="231"/>
      <c r="FWX1" s="231"/>
      <c r="FWY1" s="231"/>
      <c r="FWZ1" s="231"/>
      <c r="FXA1" s="231"/>
      <c r="FXB1" s="231"/>
      <c r="FXC1" s="231"/>
      <c r="FXD1" s="231"/>
      <c r="FXE1" s="231"/>
      <c r="FXF1" s="231"/>
      <c r="FXG1" s="231"/>
      <c r="FXH1" s="231"/>
      <c r="FXI1" s="231"/>
      <c r="FXJ1" s="231"/>
      <c r="FXK1" s="231"/>
      <c r="FXL1" s="231"/>
      <c r="FXM1" s="231"/>
      <c r="FXN1" s="231"/>
      <c r="FXO1" s="231"/>
      <c r="FXP1" s="231"/>
      <c r="FXQ1" s="231"/>
      <c r="FXR1" s="231"/>
      <c r="FXS1" s="231"/>
      <c r="FXT1" s="231"/>
      <c r="FXU1" s="231"/>
      <c r="FXV1" s="231"/>
      <c r="FXW1" s="231"/>
      <c r="FXX1" s="231"/>
      <c r="FXY1" s="231"/>
      <c r="FXZ1" s="231"/>
      <c r="FYA1" s="231"/>
      <c r="FYB1" s="231"/>
      <c r="FYC1" s="231"/>
      <c r="FYD1" s="231"/>
      <c r="FYE1" s="231"/>
      <c r="FYF1" s="231"/>
      <c r="FYG1" s="231"/>
      <c r="FYH1" s="231"/>
      <c r="FYI1" s="231"/>
      <c r="FYJ1" s="231"/>
      <c r="FYK1" s="231"/>
      <c r="FYL1" s="231"/>
      <c r="FYM1" s="231"/>
      <c r="FYN1" s="231"/>
      <c r="FYO1" s="231"/>
      <c r="FYP1" s="231"/>
      <c r="FYQ1" s="231"/>
      <c r="FYR1" s="231"/>
      <c r="FYS1" s="231"/>
      <c r="FYT1" s="231"/>
      <c r="FYU1" s="231"/>
      <c r="FYV1" s="231"/>
      <c r="FYW1" s="231"/>
      <c r="FYX1" s="231"/>
      <c r="FYY1" s="231"/>
      <c r="FYZ1" s="231"/>
      <c r="FZA1" s="231"/>
      <c r="FZB1" s="231"/>
      <c r="FZC1" s="231"/>
      <c r="FZD1" s="231"/>
      <c r="FZE1" s="231"/>
      <c r="FZF1" s="231"/>
      <c r="FZG1" s="231"/>
      <c r="FZH1" s="231"/>
      <c r="FZI1" s="231"/>
      <c r="FZJ1" s="231"/>
      <c r="FZK1" s="231"/>
      <c r="FZL1" s="231"/>
      <c r="FZM1" s="231"/>
      <c r="FZN1" s="231"/>
      <c r="FZO1" s="231"/>
      <c r="FZP1" s="231"/>
      <c r="FZQ1" s="231"/>
      <c r="FZR1" s="231"/>
      <c r="FZS1" s="231"/>
      <c r="FZT1" s="231"/>
      <c r="FZU1" s="231"/>
      <c r="FZV1" s="231"/>
      <c r="FZW1" s="231"/>
      <c r="FZX1" s="231"/>
      <c r="FZY1" s="231"/>
      <c r="FZZ1" s="231"/>
      <c r="GAA1" s="231"/>
      <c r="GAB1" s="231"/>
      <c r="GAC1" s="231"/>
      <c r="GAD1" s="231"/>
      <c r="GAE1" s="231"/>
      <c r="GAF1" s="231"/>
      <c r="GAG1" s="231"/>
      <c r="GAH1" s="231"/>
      <c r="GAI1" s="231"/>
      <c r="GAJ1" s="231"/>
      <c r="GAK1" s="231"/>
      <c r="GAL1" s="231"/>
      <c r="GAM1" s="231"/>
      <c r="GAN1" s="231"/>
      <c r="GAO1" s="231"/>
      <c r="GAP1" s="231"/>
      <c r="GAQ1" s="231"/>
      <c r="GAR1" s="231"/>
      <c r="GAS1" s="231"/>
      <c r="GAT1" s="231"/>
      <c r="GAU1" s="231"/>
      <c r="GAV1" s="231"/>
      <c r="GAW1" s="231"/>
      <c r="GAX1" s="231"/>
      <c r="GAY1" s="231"/>
      <c r="GAZ1" s="231"/>
      <c r="GBA1" s="231"/>
      <c r="GBB1" s="231"/>
      <c r="GBC1" s="231"/>
      <c r="GBD1" s="231"/>
      <c r="GBE1" s="231"/>
      <c r="GBF1" s="231"/>
      <c r="GBG1" s="231"/>
      <c r="GBH1" s="231"/>
      <c r="GBI1" s="231"/>
      <c r="GBJ1" s="231"/>
      <c r="GBK1" s="231"/>
      <c r="GBL1" s="231"/>
      <c r="GBM1" s="231"/>
      <c r="GBN1" s="231"/>
      <c r="GBO1" s="231"/>
      <c r="GBP1" s="231"/>
      <c r="GBQ1" s="231"/>
      <c r="GBR1" s="231"/>
      <c r="GBS1" s="231"/>
      <c r="GBT1" s="231"/>
      <c r="GBU1" s="231"/>
      <c r="GBV1" s="231"/>
      <c r="GBW1" s="231"/>
      <c r="GBX1" s="231"/>
      <c r="GBY1" s="231"/>
      <c r="GBZ1" s="231"/>
      <c r="GCA1" s="231"/>
      <c r="GCB1" s="231"/>
      <c r="GCC1" s="231"/>
      <c r="GCD1" s="231"/>
      <c r="GCE1" s="231"/>
      <c r="GCF1" s="231"/>
      <c r="GCG1" s="231"/>
      <c r="GCH1" s="231"/>
      <c r="GCI1" s="231"/>
      <c r="GCJ1" s="231"/>
      <c r="GCK1" s="231"/>
      <c r="GCL1" s="231"/>
      <c r="GCM1" s="231"/>
      <c r="GCN1" s="231"/>
      <c r="GCO1" s="231"/>
      <c r="GCP1" s="231"/>
      <c r="GCQ1" s="231"/>
      <c r="GCR1" s="231"/>
      <c r="GCS1" s="231"/>
      <c r="GCT1" s="231"/>
      <c r="GCU1" s="231"/>
      <c r="GCV1" s="231"/>
      <c r="GCW1" s="231"/>
      <c r="GCX1" s="231"/>
      <c r="GCY1" s="231"/>
      <c r="GCZ1" s="231"/>
      <c r="GDA1" s="231"/>
      <c r="GDB1" s="231"/>
      <c r="GDC1" s="231"/>
      <c r="GDD1" s="231"/>
      <c r="GDE1" s="231"/>
      <c r="GDF1" s="231"/>
      <c r="GDG1" s="231"/>
      <c r="GDH1" s="231"/>
      <c r="GDI1" s="231"/>
      <c r="GDJ1" s="231"/>
      <c r="GDK1" s="231"/>
      <c r="GDL1" s="231"/>
      <c r="GDM1" s="231"/>
      <c r="GDN1" s="231"/>
      <c r="GDO1" s="231"/>
      <c r="GDP1" s="231"/>
      <c r="GDQ1" s="231"/>
      <c r="GDR1" s="231"/>
      <c r="GDS1" s="231"/>
      <c r="GDT1" s="231"/>
      <c r="GDU1" s="231"/>
      <c r="GDV1" s="231"/>
      <c r="GDW1" s="231"/>
      <c r="GDX1" s="231"/>
      <c r="GDY1" s="231"/>
      <c r="GDZ1" s="231"/>
      <c r="GEA1" s="231"/>
      <c r="GEB1" s="231"/>
      <c r="GEC1" s="231"/>
      <c r="GED1" s="231"/>
      <c r="GEE1" s="231"/>
      <c r="GEF1" s="231"/>
      <c r="GEG1" s="231"/>
      <c r="GEH1" s="231"/>
      <c r="GEI1" s="231"/>
      <c r="GEJ1" s="231"/>
      <c r="GEK1" s="231"/>
      <c r="GEL1" s="231"/>
      <c r="GEM1" s="231"/>
      <c r="GEN1" s="231"/>
      <c r="GEO1" s="231"/>
      <c r="GEP1" s="231"/>
      <c r="GEQ1" s="231"/>
      <c r="GER1" s="231"/>
      <c r="GES1" s="231"/>
      <c r="GET1" s="231"/>
      <c r="GEU1" s="231"/>
      <c r="GEV1" s="231"/>
      <c r="GEW1" s="231"/>
      <c r="GEX1" s="231"/>
      <c r="GEY1" s="231"/>
      <c r="GEZ1" s="231"/>
      <c r="GFA1" s="231"/>
      <c r="GFB1" s="231"/>
      <c r="GFC1" s="231"/>
      <c r="GFD1" s="231"/>
      <c r="GFE1" s="231"/>
      <c r="GFF1" s="231"/>
      <c r="GFG1" s="231"/>
      <c r="GFH1" s="231"/>
      <c r="GFI1" s="231"/>
      <c r="GFJ1" s="231"/>
      <c r="GFK1" s="231"/>
      <c r="GFL1" s="231"/>
      <c r="GFM1" s="231"/>
      <c r="GFN1" s="231"/>
      <c r="GFO1" s="231"/>
      <c r="GFP1" s="231"/>
      <c r="GFQ1" s="231"/>
      <c r="GFR1" s="231"/>
      <c r="GFS1" s="231"/>
      <c r="GFT1" s="231"/>
      <c r="GFU1" s="231"/>
      <c r="GFV1" s="231"/>
      <c r="GFW1" s="231"/>
      <c r="GFX1" s="231"/>
      <c r="GFY1" s="231"/>
      <c r="GFZ1" s="231"/>
      <c r="GGA1" s="231"/>
      <c r="GGB1" s="231"/>
      <c r="GGC1" s="231"/>
      <c r="GGD1" s="231"/>
      <c r="GGE1" s="231"/>
      <c r="GGF1" s="231"/>
      <c r="GGG1" s="231"/>
      <c r="GGH1" s="231"/>
      <c r="GGI1" s="231"/>
      <c r="GGJ1" s="231"/>
      <c r="GGK1" s="231"/>
      <c r="GGL1" s="231"/>
      <c r="GGM1" s="231"/>
      <c r="GGN1" s="231"/>
      <c r="GGO1" s="231"/>
      <c r="GGP1" s="231"/>
      <c r="GGQ1" s="231"/>
      <c r="GGR1" s="231"/>
      <c r="GGS1" s="231"/>
      <c r="GGT1" s="231"/>
      <c r="GGU1" s="231"/>
      <c r="GGV1" s="231"/>
      <c r="GGW1" s="231"/>
      <c r="GGX1" s="231"/>
      <c r="GGY1" s="231"/>
      <c r="GGZ1" s="231"/>
      <c r="GHA1" s="231"/>
      <c r="GHB1" s="231"/>
      <c r="GHC1" s="231"/>
      <c r="GHD1" s="231"/>
      <c r="GHE1" s="231"/>
      <c r="GHF1" s="231"/>
      <c r="GHG1" s="231"/>
      <c r="GHH1" s="231"/>
      <c r="GHI1" s="231"/>
      <c r="GHJ1" s="231"/>
      <c r="GHK1" s="231"/>
      <c r="GHL1" s="231"/>
      <c r="GHM1" s="231"/>
      <c r="GHN1" s="231"/>
      <c r="GHO1" s="231"/>
      <c r="GHP1" s="231"/>
      <c r="GHQ1" s="231"/>
      <c r="GHR1" s="231"/>
      <c r="GHS1" s="231"/>
      <c r="GHT1" s="231"/>
      <c r="GHU1" s="231"/>
      <c r="GHV1" s="231"/>
      <c r="GHW1" s="231"/>
      <c r="GHX1" s="231"/>
      <c r="GHY1" s="231"/>
      <c r="GHZ1" s="231"/>
      <c r="GIA1" s="231"/>
      <c r="GIB1" s="231"/>
      <c r="GIC1" s="231"/>
      <c r="GID1" s="231"/>
      <c r="GIE1" s="231"/>
      <c r="GIF1" s="231"/>
      <c r="GIG1" s="231"/>
      <c r="GIH1" s="231"/>
      <c r="GII1" s="231"/>
      <c r="GIJ1" s="231"/>
      <c r="GIK1" s="231"/>
      <c r="GIL1" s="231"/>
      <c r="GIM1" s="231"/>
      <c r="GIN1" s="231"/>
      <c r="GIO1" s="231"/>
      <c r="GIP1" s="231"/>
      <c r="GIQ1" s="231"/>
      <c r="GIR1" s="231"/>
      <c r="GIS1" s="231"/>
      <c r="GIT1" s="231"/>
      <c r="GIU1" s="231"/>
      <c r="GIV1" s="231"/>
      <c r="GIW1" s="231"/>
      <c r="GIX1" s="231"/>
      <c r="GIY1" s="231"/>
      <c r="GIZ1" s="231"/>
      <c r="GJA1" s="231"/>
      <c r="GJB1" s="231"/>
      <c r="GJC1" s="231"/>
      <c r="GJD1" s="231"/>
      <c r="GJE1" s="231"/>
      <c r="GJF1" s="231"/>
      <c r="GJG1" s="231"/>
      <c r="GJH1" s="231"/>
      <c r="GJI1" s="231"/>
      <c r="GJJ1" s="231"/>
      <c r="GJK1" s="231"/>
      <c r="GJL1" s="231"/>
      <c r="GJM1" s="231"/>
      <c r="GJN1" s="231"/>
      <c r="GJO1" s="231"/>
      <c r="GJP1" s="231"/>
      <c r="GJQ1" s="231"/>
      <c r="GJR1" s="231"/>
      <c r="GJS1" s="231"/>
      <c r="GJT1" s="231"/>
      <c r="GJU1" s="231"/>
      <c r="GJV1" s="231"/>
      <c r="GJW1" s="231"/>
      <c r="GJX1" s="231"/>
      <c r="GJY1" s="231"/>
      <c r="GJZ1" s="231"/>
      <c r="GKA1" s="231"/>
      <c r="GKB1" s="231"/>
      <c r="GKC1" s="231"/>
      <c r="GKD1" s="231"/>
      <c r="GKE1" s="231"/>
      <c r="GKF1" s="231"/>
      <c r="GKG1" s="231"/>
      <c r="GKH1" s="231"/>
      <c r="GKI1" s="231"/>
      <c r="GKJ1" s="231"/>
      <c r="GKK1" s="231"/>
      <c r="GKL1" s="231"/>
      <c r="GKM1" s="231"/>
      <c r="GKN1" s="231"/>
      <c r="GKO1" s="231"/>
      <c r="GKP1" s="231"/>
      <c r="GKQ1" s="231"/>
      <c r="GKR1" s="231"/>
      <c r="GKS1" s="231"/>
      <c r="GKT1" s="231"/>
      <c r="GKU1" s="231"/>
      <c r="GKV1" s="231"/>
      <c r="GKW1" s="231"/>
      <c r="GKX1" s="231"/>
      <c r="GKY1" s="231"/>
      <c r="GKZ1" s="231"/>
      <c r="GLA1" s="231"/>
      <c r="GLB1" s="231"/>
      <c r="GLC1" s="231"/>
      <c r="GLD1" s="231"/>
      <c r="GLE1" s="231"/>
      <c r="GLF1" s="231"/>
      <c r="GLG1" s="231"/>
      <c r="GLH1" s="231"/>
      <c r="GLI1" s="231"/>
      <c r="GLJ1" s="231"/>
      <c r="GLK1" s="231"/>
      <c r="GLL1" s="231"/>
      <c r="GLM1" s="231"/>
      <c r="GLN1" s="231"/>
      <c r="GLO1" s="231"/>
      <c r="GLP1" s="231"/>
      <c r="GLQ1" s="231"/>
      <c r="GLR1" s="231"/>
      <c r="GLS1" s="231"/>
      <c r="GLT1" s="231"/>
      <c r="GLU1" s="231"/>
      <c r="GLV1" s="231"/>
      <c r="GLW1" s="231"/>
      <c r="GLX1" s="231"/>
      <c r="GLY1" s="231"/>
      <c r="GLZ1" s="231"/>
      <c r="GMA1" s="231"/>
      <c r="GMB1" s="231"/>
      <c r="GMC1" s="231"/>
      <c r="GMD1" s="231"/>
      <c r="GME1" s="231"/>
      <c r="GMF1" s="231"/>
      <c r="GMG1" s="231"/>
      <c r="GMH1" s="231"/>
      <c r="GMI1" s="231"/>
      <c r="GMJ1" s="231"/>
      <c r="GMK1" s="231"/>
      <c r="GML1" s="231"/>
      <c r="GMM1" s="231"/>
      <c r="GMN1" s="231"/>
      <c r="GMO1" s="231"/>
      <c r="GMP1" s="231"/>
      <c r="GMQ1" s="231"/>
      <c r="GMR1" s="231"/>
      <c r="GMS1" s="231"/>
      <c r="GMT1" s="231"/>
      <c r="GMU1" s="231"/>
      <c r="GMV1" s="231"/>
      <c r="GMW1" s="231"/>
      <c r="GMX1" s="231"/>
      <c r="GMY1" s="231"/>
      <c r="GMZ1" s="231"/>
      <c r="GNA1" s="231"/>
      <c r="GNB1" s="231"/>
      <c r="GNC1" s="231"/>
      <c r="GND1" s="231"/>
      <c r="GNE1" s="231"/>
      <c r="GNF1" s="231"/>
      <c r="GNG1" s="231"/>
      <c r="GNH1" s="231"/>
      <c r="GNI1" s="231"/>
      <c r="GNJ1" s="231"/>
      <c r="GNK1" s="231"/>
      <c r="GNL1" s="231"/>
      <c r="GNM1" s="231"/>
      <c r="GNN1" s="231"/>
      <c r="GNO1" s="231"/>
      <c r="GNP1" s="231"/>
      <c r="GNQ1" s="231"/>
      <c r="GNR1" s="231"/>
      <c r="GNS1" s="231"/>
      <c r="GNT1" s="231"/>
      <c r="GNU1" s="231"/>
      <c r="GNV1" s="231"/>
      <c r="GNW1" s="231"/>
      <c r="GNX1" s="231"/>
      <c r="GNY1" s="231"/>
      <c r="GNZ1" s="231"/>
      <c r="GOA1" s="231"/>
      <c r="GOB1" s="231"/>
      <c r="GOC1" s="231"/>
      <c r="GOD1" s="231"/>
      <c r="GOE1" s="231"/>
      <c r="GOF1" s="231"/>
      <c r="GOG1" s="231"/>
      <c r="GOH1" s="231"/>
      <c r="GOI1" s="231"/>
      <c r="GOJ1" s="231"/>
      <c r="GOK1" s="231"/>
      <c r="GOL1" s="231"/>
      <c r="GOM1" s="231"/>
      <c r="GON1" s="231"/>
      <c r="GOO1" s="231"/>
      <c r="GOP1" s="231"/>
      <c r="GOQ1" s="231"/>
      <c r="GOR1" s="231"/>
      <c r="GOS1" s="231"/>
      <c r="GOT1" s="231"/>
      <c r="GOU1" s="231"/>
      <c r="GOV1" s="231"/>
      <c r="GOW1" s="231"/>
      <c r="GOX1" s="231"/>
      <c r="GOY1" s="231"/>
      <c r="GOZ1" s="231"/>
      <c r="GPA1" s="231"/>
      <c r="GPB1" s="231"/>
      <c r="GPC1" s="231"/>
      <c r="GPD1" s="231"/>
      <c r="GPE1" s="231"/>
      <c r="GPF1" s="231"/>
      <c r="GPG1" s="231"/>
      <c r="GPH1" s="231"/>
      <c r="GPI1" s="231"/>
      <c r="GPJ1" s="231"/>
      <c r="GPK1" s="231"/>
      <c r="GPL1" s="231"/>
      <c r="GPM1" s="231"/>
      <c r="GPN1" s="231"/>
      <c r="GPO1" s="231"/>
      <c r="GPP1" s="231"/>
      <c r="GPQ1" s="231"/>
      <c r="GPR1" s="231"/>
      <c r="GPS1" s="231"/>
      <c r="GPT1" s="231"/>
      <c r="GPU1" s="231"/>
      <c r="GPV1" s="231"/>
      <c r="GPW1" s="231"/>
      <c r="GPX1" s="231"/>
      <c r="GPY1" s="231"/>
      <c r="GPZ1" s="231"/>
      <c r="GQA1" s="231"/>
      <c r="GQB1" s="231"/>
      <c r="GQC1" s="231"/>
      <c r="GQD1" s="231"/>
      <c r="GQE1" s="231"/>
      <c r="GQF1" s="231"/>
      <c r="GQG1" s="231"/>
      <c r="GQH1" s="231"/>
      <c r="GQI1" s="231"/>
      <c r="GQJ1" s="231"/>
      <c r="GQK1" s="231"/>
      <c r="GQL1" s="231"/>
      <c r="GQM1" s="231"/>
      <c r="GQN1" s="231"/>
      <c r="GQO1" s="231"/>
      <c r="GQP1" s="231"/>
      <c r="GQQ1" s="231"/>
      <c r="GQR1" s="231"/>
      <c r="GQS1" s="231"/>
      <c r="GQT1" s="231"/>
      <c r="GQU1" s="231"/>
      <c r="GQV1" s="231"/>
      <c r="GQW1" s="231"/>
      <c r="GQX1" s="231"/>
      <c r="GQY1" s="231"/>
      <c r="GQZ1" s="231"/>
      <c r="GRA1" s="231"/>
      <c r="GRB1" s="231"/>
      <c r="GRC1" s="231"/>
      <c r="GRD1" s="231"/>
      <c r="GRE1" s="231"/>
      <c r="GRF1" s="231"/>
      <c r="GRG1" s="231"/>
      <c r="GRH1" s="231"/>
      <c r="GRI1" s="231"/>
      <c r="GRJ1" s="231"/>
      <c r="GRK1" s="231"/>
      <c r="GRL1" s="231"/>
      <c r="GRM1" s="231"/>
      <c r="GRN1" s="231"/>
      <c r="GRO1" s="231"/>
      <c r="GRP1" s="231"/>
      <c r="GRQ1" s="231"/>
      <c r="GRR1" s="231"/>
      <c r="GRS1" s="231"/>
      <c r="GRT1" s="231"/>
      <c r="GRU1" s="231"/>
      <c r="GRV1" s="231"/>
      <c r="GRW1" s="231"/>
      <c r="GRX1" s="231"/>
      <c r="GRY1" s="231"/>
      <c r="GRZ1" s="231"/>
      <c r="GSA1" s="231"/>
      <c r="GSB1" s="231"/>
      <c r="GSC1" s="231"/>
      <c r="GSD1" s="231"/>
      <c r="GSE1" s="231"/>
      <c r="GSF1" s="231"/>
      <c r="GSG1" s="231"/>
      <c r="GSH1" s="231"/>
      <c r="GSI1" s="231"/>
      <c r="GSJ1" s="231"/>
      <c r="GSK1" s="231"/>
      <c r="GSL1" s="231"/>
      <c r="GSM1" s="231"/>
      <c r="GSN1" s="231"/>
      <c r="GSO1" s="231"/>
      <c r="GSP1" s="231"/>
      <c r="GSQ1" s="231"/>
      <c r="GSR1" s="231"/>
      <c r="GSS1" s="231"/>
      <c r="GST1" s="231"/>
      <c r="GSU1" s="231"/>
      <c r="GSV1" s="231"/>
      <c r="GSW1" s="231"/>
      <c r="GSX1" s="231"/>
      <c r="GSY1" s="231"/>
      <c r="GSZ1" s="231"/>
      <c r="GTA1" s="231"/>
      <c r="GTB1" s="231"/>
      <c r="GTC1" s="231"/>
      <c r="GTD1" s="231"/>
      <c r="GTE1" s="231"/>
      <c r="GTF1" s="231"/>
      <c r="GTG1" s="231"/>
      <c r="GTH1" s="231"/>
      <c r="GTI1" s="231"/>
      <c r="GTJ1" s="231"/>
      <c r="GTK1" s="231"/>
      <c r="GTL1" s="231"/>
      <c r="GTM1" s="231"/>
      <c r="GTN1" s="231"/>
      <c r="GTO1" s="231"/>
      <c r="GTP1" s="231"/>
      <c r="GTQ1" s="231"/>
      <c r="GTR1" s="231"/>
      <c r="GTS1" s="231"/>
      <c r="GTT1" s="231"/>
      <c r="GTU1" s="231"/>
      <c r="GTV1" s="231"/>
      <c r="GTW1" s="231"/>
      <c r="GTX1" s="231"/>
      <c r="GTY1" s="231"/>
      <c r="GTZ1" s="231"/>
      <c r="GUA1" s="231"/>
      <c r="GUB1" s="231"/>
      <c r="GUC1" s="231"/>
      <c r="GUD1" s="231"/>
      <c r="GUE1" s="231"/>
      <c r="GUF1" s="231"/>
      <c r="GUG1" s="231"/>
      <c r="GUH1" s="231"/>
      <c r="GUI1" s="231"/>
      <c r="GUJ1" s="231"/>
      <c r="GUK1" s="231"/>
      <c r="GUL1" s="231"/>
      <c r="GUM1" s="231"/>
      <c r="GUN1" s="231"/>
      <c r="GUO1" s="231"/>
      <c r="GUP1" s="231"/>
      <c r="GUQ1" s="231"/>
      <c r="GUR1" s="231"/>
      <c r="GUS1" s="231"/>
      <c r="GUT1" s="231"/>
      <c r="GUU1" s="231"/>
      <c r="GUV1" s="231"/>
      <c r="GUW1" s="231"/>
      <c r="GUX1" s="231"/>
      <c r="GUY1" s="231"/>
      <c r="GUZ1" s="231"/>
      <c r="GVA1" s="231"/>
      <c r="GVB1" s="231"/>
      <c r="GVC1" s="231"/>
      <c r="GVD1" s="231"/>
      <c r="GVE1" s="231"/>
      <c r="GVF1" s="231"/>
      <c r="GVG1" s="231"/>
      <c r="GVH1" s="231"/>
      <c r="GVI1" s="231"/>
      <c r="GVJ1" s="231"/>
      <c r="GVK1" s="231"/>
      <c r="GVL1" s="231"/>
      <c r="GVM1" s="231"/>
      <c r="GVN1" s="231"/>
      <c r="GVO1" s="231"/>
      <c r="GVP1" s="231"/>
      <c r="GVQ1" s="231"/>
      <c r="GVR1" s="231"/>
      <c r="GVS1" s="231"/>
      <c r="GVT1" s="231"/>
      <c r="GVU1" s="231"/>
      <c r="GVV1" s="231"/>
      <c r="GVW1" s="231"/>
      <c r="GVX1" s="231"/>
      <c r="GVY1" s="231"/>
      <c r="GVZ1" s="231"/>
      <c r="GWA1" s="231"/>
      <c r="GWB1" s="231"/>
      <c r="GWC1" s="231"/>
      <c r="GWD1" s="231"/>
      <c r="GWE1" s="231"/>
      <c r="GWF1" s="231"/>
      <c r="GWG1" s="231"/>
      <c r="GWH1" s="231"/>
      <c r="GWI1" s="231"/>
      <c r="GWJ1" s="231"/>
      <c r="GWK1" s="231"/>
      <c r="GWL1" s="231"/>
      <c r="GWM1" s="231"/>
      <c r="GWN1" s="231"/>
      <c r="GWO1" s="231"/>
      <c r="GWP1" s="231"/>
      <c r="GWQ1" s="231"/>
      <c r="GWR1" s="231"/>
      <c r="GWS1" s="231"/>
      <c r="GWT1" s="231"/>
      <c r="GWU1" s="231"/>
      <c r="GWV1" s="231"/>
      <c r="GWW1" s="231"/>
      <c r="GWX1" s="231"/>
      <c r="GWY1" s="231"/>
      <c r="GWZ1" s="231"/>
      <c r="GXA1" s="231"/>
      <c r="GXB1" s="231"/>
      <c r="GXC1" s="231"/>
      <c r="GXD1" s="231"/>
      <c r="GXE1" s="231"/>
      <c r="GXF1" s="231"/>
      <c r="GXG1" s="231"/>
      <c r="GXH1" s="231"/>
      <c r="GXI1" s="231"/>
      <c r="GXJ1" s="231"/>
      <c r="GXK1" s="231"/>
      <c r="GXL1" s="231"/>
      <c r="GXM1" s="231"/>
      <c r="GXN1" s="231"/>
      <c r="GXO1" s="231"/>
      <c r="GXP1" s="231"/>
      <c r="GXQ1" s="231"/>
      <c r="GXR1" s="231"/>
      <c r="GXS1" s="231"/>
      <c r="GXT1" s="231"/>
      <c r="GXU1" s="231"/>
      <c r="GXV1" s="231"/>
      <c r="GXW1" s="231"/>
      <c r="GXX1" s="231"/>
      <c r="GXY1" s="231"/>
      <c r="GXZ1" s="231"/>
      <c r="GYA1" s="231"/>
      <c r="GYB1" s="231"/>
      <c r="GYC1" s="231"/>
      <c r="GYD1" s="231"/>
      <c r="GYE1" s="231"/>
      <c r="GYF1" s="231"/>
      <c r="GYG1" s="231"/>
      <c r="GYH1" s="231"/>
      <c r="GYI1" s="231"/>
      <c r="GYJ1" s="231"/>
      <c r="GYK1" s="231"/>
      <c r="GYL1" s="231"/>
      <c r="GYM1" s="231"/>
      <c r="GYN1" s="231"/>
      <c r="GYO1" s="231"/>
      <c r="GYP1" s="231"/>
      <c r="GYQ1" s="231"/>
      <c r="GYR1" s="231"/>
      <c r="GYS1" s="231"/>
      <c r="GYT1" s="231"/>
      <c r="GYU1" s="231"/>
      <c r="GYV1" s="231"/>
      <c r="GYW1" s="231"/>
      <c r="GYX1" s="231"/>
      <c r="GYY1" s="231"/>
      <c r="GYZ1" s="231"/>
      <c r="GZA1" s="231"/>
      <c r="GZB1" s="231"/>
      <c r="GZC1" s="231"/>
      <c r="GZD1" s="231"/>
      <c r="GZE1" s="231"/>
      <c r="GZF1" s="231"/>
      <c r="GZG1" s="231"/>
      <c r="GZH1" s="231"/>
      <c r="GZI1" s="231"/>
      <c r="GZJ1" s="231"/>
      <c r="GZK1" s="231"/>
      <c r="GZL1" s="231"/>
      <c r="GZM1" s="231"/>
      <c r="GZN1" s="231"/>
      <c r="GZO1" s="231"/>
      <c r="GZP1" s="231"/>
      <c r="GZQ1" s="231"/>
      <c r="GZR1" s="231"/>
      <c r="GZS1" s="231"/>
      <c r="GZT1" s="231"/>
      <c r="GZU1" s="231"/>
      <c r="GZV1" s="231"/>
      <c r="GZW1" s="231"/>
      <c r="GZX1" s="231"/>
      <c r="GZY1" s="231"/>
      <c r="GZZ1" s="231"/>
      <c r="HAA1" s="231"/>
      <c r="HAB1" s="231"/>
      <c r="HAC1" s="231"/>
      <c r="HAD1" s="231"/>
      <c r="HAE1" s="231"/>
      <c r="HAF1" s="231"/>
      <c r="HAG1" s="231"/>
      <c r="HAH1" s="231"/>
      <c r="HAI1" s="231"/>
      <c r="HAJ1" s="231"/>
      <c r="HAK1" s="231"/>
      <c r="HAL1" s="231"/>
      <c r="HAM1" s="231"/>
      <c r="HAN1" s="231"/>
      <c r="HAO1" s="231"/>
      <c r="HAP1" s="231"/>
      <c r="HAQ1" s="231"/>
      <c r="HAR1" s="231"/>
      <c r="HAS1" s="231"/>
      <c r="HAT1" s="231"/>
      <c r="HAU1" s="231"/>
      <c r="HAV1" s="231"/>
      <c r="HAW1" s="231"/>
      <c r="HAX1" s="231"/>
      <c r="HAY1" s="231"/>
      <c r="HAZ1" s="231"/>
      <c r="HBA1" s="231"/>
      <c r="HBB1" s="231"/>
      <c r="HBC1" s="231"/>
      <c r="HBD1" s="231"/>
      <c r="HBE1" s="231"/>
      <c r="HBF1" s="231"/>
      <c r="HBG1" s="231"/>
      <c r="HBH1" s="231"/>
      <c r="HBI1" s="231"/>
      <c r="HBJ1" s="231"/>
      <c r="HBK1" s="231"/>
      <c r="HBL1" s="231"/>
      <c r="HBM1" s="231"/>
      <c r="HBN1" s="231"/>
      <c r="HBO1" s="231"/>
      <c r="HBP1" s="231"/>
      <c r="HBQ1" s="231"/>
      <c r="HBR1" s="231"/>
      <c r="HBS1" s="231"/>
      <c r="HBT1" s="231"/>
      <c r="HBU1" s="231"/>
      <c r="HBV1" s="231"/>
      <c r="HBW1" s="231"/>
      <c r="HBX1" s="231"/>
      <c r="HBY1" s="231"/>
      <c r="HBZ1" s="231"/>
      <c r="HCA1" s="231"/>
      <c r="HCB1" s="231"/>
      <c r="HCC1" s="231"/>
      <c r="HCD1" s="231"/>
      <c r="HCE1" s="231"/>
      <c r="HCF1" s="231"/>
      <c r="HCG1" s="231"/>
      <c r="HCH1" s="231"/>
      <c r="HCI1" s="231"/>
      <c r="HCJ1" s="231"/>
      <c r="HCK1" s="231"/>
      <c r="HCL1" s="231"/>
      <c r="HCM1" s="231"/>
      <c r="HCN1" s="231"/>
      <c r="HCO1" s="231"/>
      <c r="HCP1" s="231"/>
      <c r="HCQ1" s="231"/>
      <c r="HCR1" s="231"/>
      <c r="HCS1" s="231"/>
      <c r="HCT1" s="231"/>
      <c r="HCU1" s="231"/>
      <c r="HCV1" s="231"/>
      <c r="HCW1" s="231"/>
      <c r="HCX1" s="231"/>
      <c r="HCY1" s="231"/>
      <c r="HCZ1" s="231"/>
      <c r="HDA1" s="231"/>
      <c r="HDB1" s="231"/>
      <c r="HDC1" s="231"/>
      <c r="HDD1" s="231"/>
      <c r="HDE1" s="231"/>
      <c r="HDF1" s="231"/>
      <c r="HDG1" s="231"/>
      <c r="HDH1" s="231"/>
      <c r="HDI1" s="231"/>
      <c r="HDJ1" s="231"/>
      <c r="HDK1" s="231"/>
      <c r="HDL1" s="231"/>
      <c r="HDM1" s="231"/>
      <c r="HDN1" s="231"/>
      <c r="HDO1" s="231"/>
      <c r="HDP1" s="231"/>
      <c r="HDQ1" s="231"/>
      <c r="HDR1" s="231"/>
      <c r="HDS1" s="231"/>
      <c r="HDT1" s="231"/>
      <c r="HDU1" s="231"/>
      <c r="HDV1" s="231"/>
      <c r="HDW1" s="231"/>
      <c r="HDX1" s="231"/>
      <c r="HDY1" s="231"/>
      <c r="HDZ1" s="231"/>
      <c r="HEA1" s="231"/>
      <c r="HEB1" s="231"/>
      <c r="HEC1" s="231"/>
      <c r="HED1" s="231"/>
      <c r="HEE1" s="231"/>
      <c r="HEF1" s="231"/>
      <c r="HEG1" s="231"/>
      <c r="HEH1" s="231"/>
      <c r="HEI1" s="231"/>
      <c r="HEJ1" s="231"/>
      <c r="HEK1" s="231"/>
      <c r="HEL1" s="231"/>
      <c r="HEM1" s="231"/>
      <c r="HEN1" s="231"/>
      <c r="HEO1" s="231"/>
      <c r="HEP1" s="231"/>
      <c r="HEQ1" s="231"/>
      <c r="HER1" s="231"/>
      <c r="HES1" s="231"/>
      <c r="HET1" s="231"/>
      <c r="HEU1" s="231"/>
      <c r="HEV1" s="231"/>
      <c r="HEW1" s="231"/>
      <c r="HEX1" s="231"/>
      <c r="HEY1" s="231"/>
      <c r="HEZ1" s="231"/>
      <c r="HFA1" s="231"/>
      <c r="HFB1" s="231"/>
      <c r="HFC1" s="231"/>
      <c r="HFD1" s="231"/>
      <c r="HFE1" s="231"/>
      <c r="HFF1" s="231"/>
      <c r="HFG1" s="231"/>
      <c r="HFH1" s="231"/>
      <c r="HFI1" s="231"/>
      <c r="HFJ1" s="231"/>
      <c r="HFK1" s="231"/>
      <c r="HFL1" s="231"/>
      <c r="HFM1" s="231"/>
      <c r="HFN1" s="231"/>
      <c r="HFO1" s="231"/>
      <c r="HFP1" s="231"/>
      <c r="HFQ1" s="231"/>
      <c r="HFR1" s="231"/>
      <c r="HFS1" s="231"/>
      <c r="HFT1" s="231"/>
      <c r="HFU1" s="231"/>
      <c r="HFV1" s="231"/>
      <c r="HFW1" s="231"/>
      <c r="HFX1" s="231"/>
      <c r="HFY1" s="231"/>
      <c r="HFZ1" s="231"/>
      <c r="HGA1" s="231"/>
      <c r="HGB1" s="231"/>
      <c r="HGC1" s="231"/>
      <c r="HGD1" s="231"/>
      <c r="HGE1" s="231"/>
      <c r="HGF1" s="231"/>
      <c r="HGG1" s="231"/>
      <c r="HGH1" s="231"/>
      <c r="HGI1" s="231"/>
      <c r="HGJ1" s="231"/>
      <c r="HGK1" s="231"/>
      <c r="HGL1" s="231"/>
      <c r="HGM1" s="231"/>
      <c r="HGN1" s="231"/>
      <c r="HGO1" s="231"/>
      <c r="HGP1" s="231"/>
      <c r="HGQ1" s="231"/>
      <c r="HGR1" s="231"/>
      <c r="HGS1" s="231"/>
      <c r="HGT1" s="231"/>
      <c r="HGU1" s="231"/>
      <c r="HGV1" s="231"/>
      <c r="HGW1" s="231"/>
      <c r="HGX1" s="231"/>
      <c r="HGY1" s="231"/>
      <c r="HGZ1" s="231"/>
      <c r="HHA1" s="231"/>
      <c r="HHB1" s="231"/>
      <c r="HHC1" s="231"/>
      <c r="HHD1" s="231"/>
      <c r="HHE1" s="231"/>
      <c r="HHF1" s="231"/>
      <c r="HHG1" s="231"/>
      <c r="HHH1" s="231"/>
      <c r="HHI1" s="231"/>
      <c r="HHJ1" s="231"/>
      <c r="HHK1" s="231"/>
      <c r="HHL1" s="231"/>
      <c r="HHM1" s="231"/>
      <c r="HHN1" s="231"/>
      <c r="HHO1" s="231"/>
      <c r="HHP1" s="231"/>
      <c r="HHQ1" s="231"/>
      <c r="HHR1" s="231"/>
      <c r="HHS1" s="231"/>
      <c r="HHT1" s="231"/>
      <c r="HHU1" s="231"/>
      <c r="HHV1" s="231"/>
      <c r="HHW1" s="231"/>
      <c r="HHX1" s="231"/>
      <c r="HHY1" s="231"/>
      <c r="HHZ1" s="231"/>
      <c r="HIA1" s="231"/>
      <c r="HIB1" s="231"/>
      <c r="HIC1" s="231"/>
      <c r="HID1" s="231"/>
      <c r="HIE1" s="231"/>
      <c r="HIF1" s="231"/>
      <c r="HIG1" s="231"/>
      <c r="HIH1" s="231"/>
      <c r="HII1" s="231"/>
      <c r="HIJ1" s="231"/>
      <c r="HIK1" s="231"/>
      <c r="HIL1" s="231"/>
      <c r="HIM1" s="231"/>
      <c r="HIN1" s="231"/>
      <c r="HIO1" s="231"/>
      <c r="HIP1" s="231"/>
      <c r="HIQ1" s="231"/>
      <c r="HIR1" s="231"/>
      <c r="HIS1" s="231"/>
      <c r="HIT1" s="231"/>
      <c r="HIU1" s="231"/>
      <c r="HIV1" s="231"/>
      <c r="HIW1" s="231"/>
      <c r="HIX1" s="231"/>
      <c r="HIY1" s="231"/>
      <c r="HIZ1" s="231"/>
      <c r="HJA1" s="231"/>
      <c r="HJB1" s="231"/>
      <c r="HJC1" s="231"/>
      <c r="HJD1" s="231"/>
      <c r="HJE1" s="231"/>
      <c r="HJF1" s="231"/>
      <c r="HJG1" s="231"/>
      <c r="HJH1" s="231"/>
      <c r="HJI1" s="231"/>
      <c r="HJJ1" s="231"/>
      <c r="HJK1" s="231"/>
      <c r="HJL1" s="231"/>
      <c r="HJM1" s="231"/>
      <c r="HJN1" s="231"/>
      <c r="HJO1" s="231"/>
      <c r="HJP1" s="231"/>
      <c r="HJQ1" s="231"/>
      <c r="HJR1" s="231"/>
      <c r="HJS1" s="231"/>
      <c r="HJT1" s="231"/>
      <c r="HJU1" s="231"/>
      <c r="HJV1" s="231"/>
      <c r="HJW1" s="231"/>
      <c r="HJX1" s="231"/>
      <c r="HJY1" s="231"/>
      <c r="HJZ1" s="231"/>
      <c r="HKA1" s="231"/>
      <c r="HKB1" s="231"/>
      <c r="HKC1" s="231"/>
      <c r="HKD1" s="231"/>
      <c r="HKE1" s="231"/>
      <c r="HKF1" s="231"/>
      <c r="HKG1" s="231"/>
      <c r="HKH1" s="231"/>
      <c r="HKI1" s="231"/>
      <c r="HKJ1" s="231"/>
      <c r="HKK1" s="231"/>
      <c r="HKL1" s="231"/>
      <c r="HKM1" s="231"/>
      <c r="HKN1" s="231"/>
      <c r="HKO1" s="231"/>
      <c r="HKP1" s="231"/>
      <c r="HKQ1" s="231"/>
      <c r="HKR1" s="231"/>
      <c r="HKS1" s="231"/>
      <c r="HKT1" s="231"/>
      <c r="HKU1" s="231"/>
      <c r="HKV1" s="231"/>
      <c r="HKW1" s="231"/>
      <c r="HKX1" s="231"/>
      <c r="HKY1" s="231"/>
      <c r="HKZ1" s="231"/>
      <c r="HLA1" s="231"/>
      <c r="HLB1" s="231"/>
      <c r="HLC1" s="231"/>
      <c r="HLD1" s="231"/>
      <c r="HLE1" s="231"/>
      <c r="HLF1" s="231"/>
      <c r="HLG1" s="231"/>
      <c r="HLH1" s="231"/>
      <c r="HLI1" s="231"/>
      <c r="HLJ1" s="231"/>
      <c r="HLK1" s="231"/>
      <c r="HLL1" s="231"/>
      <c r="HLM1" s="231"/>
      <c r="HLN1" s="231"/>
      <c r="HLO1" s="231"/>
      <c r="HLP1" s="231"/>
      <c r="HLQ1" s="231"/>
      <c r="HLR1" s="231"/>
      <c r="HLS1" s="231"/>
      <c r="HLT1" s="231"/>
      <c r="HLU1" s="231"/>
      <c r="HLV1" s="231"/>
      <c r="HLW1" s="231"/>
      <c r="HLX1" s="231"/>
      <c r="HLY1" s="231"/>
      <c r="HLZ1" s="231"/>
      <c r="HMA1" s="231"/>
      <c r="HMB1" s="231"/>
      <c r="HMC1" s="231"/>
      <c r="HMD1" s="231"/>
      <c r="HME1" s="231"/>
      <c r="HMF1" s="231"/>
      <c r="HMG1" s="231"/>
      <c r="HMH1" s="231"/>
      <c r="HMI1" s="231"/>
      <c r="HMJ1" s="231"/>
      <c r="HMK1" s="231"/>
      <c r="HML1" s="231"/>
      <c r="HMM1" s="231"/>
      <c r="HMN1" s="231"/>
      <c r="HMO1" s="231"/>
      <c r="HMP1" s="231"/>
      <c r="HMQ1" s="231"/>
      <c r="HMR1" s="231"/>
      <c r="HMS1" s="231"/>
      <c r="HMT1" s="231"/>
      <c r="HMU1" s="231"/>
      <c r="HMV1" s="231"/>
      <c r="HMW1" s="231"/>
      <c r="HMX1" s="231"/>
      <c r="HMY1" s="231"/>
      <c r="HMZ1" s="231"/>
      <c r="HNA1" s="231"/>
      <c r="HNB1" s="231"/>
      <c r="HNC1" s="231"/>
      <c r="HND1" s="231"/>
      <c r="HNE1" s="231"/>
      <c r="HNF1" s="231"/>
      <c r="HNG1" s="231"/>
      <c r="HNH1" s="231"/>
      <c r="HNI1" s="231"/>
      <c r="HNJ1" s="231"/>
      <c r="HNK1" s="231"/>
      <c r="HNL1" s="231"/>
      <c r="HNM1" s="231"/>
      <c r="HNN1" s="231"/>
      <c r="HNO1" s="231"/>
      <c r="HNP1" s="231"/>
      <c r="HNQ1" s="231"/>
      <c r="HNR1" s="231"/>
      <c r="HNS1" s="231"/>
      <c r="HNT1" s="231"/>
      <c r="HNU1" s="231"/>
      <c r="HNV1" s="231"/>
      <c r="HNW1" s="231"/>
      <c r="HNX1" s="231"/>
      <c r="HNY1" s="231"/>
      <c r="HNZ1" s="231"/>
      <c r="HOA1" s="231"/>
      <c r="HOB1" s="231"/>
      <c r="HOC1" s="231"/>
      <c r="HOD1" s="231"/>
      <c r="HOE1" s="231"/>
      <c r="HOF1" s="231"/>
      <c r="HOG1" s="231"/>
      <c r="HOH1" s="231"/>
      <c r="HOI1" s="231"/>
      <c r="HOJ1" s="231"/>
      <c r="HOK1" s="231"/>
      <c r="HOL1" s="231"/>
      <c r="HOM1" s="231"/>
      <c r="HON1" s="231"/>
      <c r="HOO1" s="231"/>
      <c r="HOP1" s="231"/>
      <c r="HOQ1" s="231"/>
      <c r="HOR1" s="231"/>
      <c r="HOS1" s="231"/>
      <c r="HOT1" s="231"/>
      <c r="HOU1" s="231"/>
      <c r="HOV1" s="231"/>
      <c r="HOW1" s="231"/>
      <c r="HOX1" s="231"/>
      <c r="HOY1" s="231"/>
      <c r="HOZ1" s="231"/>
      <c r="HPA1" s="231"/>
      <c r="HPB1" s="231"/>
      <c r="HPC1" s="231"/>
      <c r="HPD1" s="231"/>
      <c r="HPE1" s="231"/>
      <c r="HPF1" s="231"/>
      <c r="HPG1" s="231"/>
      <c r="HPH1" s="231"/>
      <c r="HPI1" s="231"/>
      <c r="HPJ1" s="231"/>
      <c r="HPK1" s="231"/>
      <c r="HPL1" s="231"/>
      <c r="HPM1" s="231"/>
      <c r="HPN1" s="231"/>
      <c r="HPO1" s="231"/>
      <c r="HPP1" s="231"/>
      <c r="HPQ1" s="231"/>
      <c r="HPR1" s="231"/>
      <c r="HPS1" s="231"/>
      <c r="HPT1" s="231"/>
      <c r="HPU1" s="231"/>
      <c r="HPV1" s="231"/>
      <c r="HPW1" s="231"/>
      <c r="HPX1" s="231"/>
      <c r="HPY1" s="231"/>
      <c r="HPZ1" s="231"/>
      <c r="HQA1" s="231"/>
      <c r="HQB1" s="231"/>
      <c r="HQC1" s="231"/>
      <c r="HQD1" s="231"/>
      <c r="HQE1" s="231"/>
      <c r="HQF1" s="231"/>
      <c r="HQG1" s="231"/>
      <c r="HQH1" s="231"/>
      <c r="HQI1" s="231"/>
      <c r="HQJ1" s="231"/>
      <c r="HQK1" s="231"/>
      <c r="HQL1" s="231"/>
      <c r="HQM1" s="231"/>
      <c r="HQN1" s="231"/>
      <c r="HQO1" s="231"/>
      <c r="HQP1" s="231"/>
      <c r="HQQ1" s="231"/>
      <c r="HQR1" s="231"/>
      <c r="HQS1" s="231"/>
      <c r="HQT1" s="231"/>
      <c r="HQU1" s="231"/>
      <c r="HQV1" s="231"/>
      <c r="HQW1" s="231"/>
      <c r="HQX1" s="231"/>
      <c r="HQY1" s="231"/>
      <c r="HQZ1" s="231"/>
      <c r="HRA1" s="231"/>
      <c r="HRB1" s="231"/>
      <c r="HRC1" s="231"/>
      <c r="HRD1" s="231"/>
      <c r="HRE1" s="231"/>
      <c r="HRF1" s="231"/>
      <c r="HRG1" s="231"/>
      <c r="HRH1" s="231"/>
      <c r="HRI1" s="231"/>
      <c r="HRJ1" s="231"/>
      <c r="HRK1" s="231"/>
      <c r="HRL1" s="231"/>
      <c r="HRM1" s="231"/>
      <c r="HRN1" s="231"/>
      <c r="HRO1" s="231"/>
      <c r="HRP1" s="231"/>
      <c r="HRQ1" s="231"/>
      <c r="HRR1" s="231"/>
      <c r="HRS1" s="231"/>
      <c r="HRT1" s="231"/>
      <c r="HRU1" s="231"/>
      <c r="HRV1" s="231"/>
      <c r="HRW1" s="231"/>
      <c r="HRX1" s="231"/>
      <c r="HRY1" s="231"/>
      <c r="HRZ1" s="231"/>
      <c r="HSA1" s="231"/>
      <c r="HSB1" s="231"/>
      <c r="HSC1" s="231"/>
      <c r="HSD1" s="231"/>
      <c r="HSE1" s="231"/>
      <c r="HSF1" s="231"/>
      <c r="HSG1" s="231"/>
      <c r="HSH1" s="231"/>
      <c r="HSI1" s="231"/>
      <c r="HSJ1" s="231"/>
      <c r="HSK1" s="231"/>
      <c r="HSL1" s="231"/>
      <c r="HSM1" s="231"/>
      <c r="HSN1" s="231"/>
      <c r="HSO1" s="231"/>
      <c r="HSP1" s="231"/>
      <c r="HSQ1" s="231"/>
      <c r="HSR1" s="231"/>
      <c r="HSS1" s="231"/>
      <c r="HST1" s="231"/>
      <c r="HSU1" s="231"/>
      <c r="HSV1" s="231"/>
      <c r="HSW1" s="231"/>
      <c r="HSX1" s="231"/>
      <c r="HSY1" s="231"/>
      <c r="HSZ1" s="231"/>
      <c r="HTA1" s="231"/>
      <c r="HTB1" s="231"/>
      <c r="HTC1" s="231"/>
      <c r="HTD1" s="231"/>
      <c r="HTE1" s="231"/>
      <c r="HTF1" s="231"/>
      <c r="HTG1" s="231"/>
      <c r="HTH1" s="231"/>
      <c r="HTI1" s="231"/>
      <c r="HTJ1" s="231"/>
      <c r="HTK1" s="231"/>
      <c r="HTL1" s="231"/>
      <c r="HTM1" s="231"/>
      <c r="HTN1" s="231"/>
      <c r="HTO1" s="231"/>
      <c r="HTP1" s="231"/>
      <c r="HTQ1" s="231"/>
      <c r="HTR1" s="231"/>
      <c r="HTS1" s="231"/>
      <c r="HTT1" s="231"/>
      <c r="HTU1" s="231"/>
      <c r="HTV1" s="231"/>
      <c r="HTW1" s="231"/>
      <c r="HTX1" s="231"/>
      <c r="HTY1" s="231"/>
      <c r="HTZ1" s="231"/>
      <c r="HUA1" s="231"/>
      <c r="HUB1" s="231"/>
      <c r="HUC1" s="231"/>
      <c r="HUD1" s="231"/>
      <c r="HUE1" s="231"/>
      <c r="HUF1" s="231"/>
      <c r="HUG1" s="231"/>
      <c r="HUH1" s="231"/>
      <c r="HUI1" s="231"/>
      <c r="HUJ1" s="231"/>
      <c r="HUK1" s="231"/>
      <c r="HUL1" s="231"/>
      <c r="HUM1" s="231"/>
      <c r="HUN1" s="231"/>
      <c r="HUO1" s="231"/>
      <c r="HUP1" s="231"/>
      <c r="HUQ1" s="231"/>
      <c r="HUR1" s="231"/>
      <c r="HUS1" s="231"/>
      <c r="HUT1" s="231"/>
      <c r="HUU1" s="231"/>
      <c r="HUV1" s="231"/>
      <c r="HUW1" s="231"/>
      <c r="HUX1" s="231"/>
      <c r="HUY1" s="231"/>
      <c r="HUZ1" s="231"/>
      <c r="HVA1" s="231"/>
      <c r="HVB1" s="231"/>
      <c r="HVC1" s="231"/>
      <c r="HVD1" s="231"/>
      <c r="HVE1" s="231"/>
      <c r="HVF1" s="231"/>
      <c r="HVG1" s="231"/>
      <c r="HVH1" s="231"/>
      <c r="HVI1" s="231"/>
      <c r="HVJ1" s="231"/>
      <c r="HVK1" s="231"/>
      <c r="HVL1" s="231"/>
      <c r="HVM1" s="231"/>
      <c r="HVN1" s="231"/>
      <c r="HVO1" s="231"/>
      <c r="HVP1" s="231"/>
      <c r="HVQ1" s="231"/>
      <c r="HVR1" s="231"/>
      <c r="HVS1" s="231"/>
      <c r="HVT1" s="231"/>
      <c r="HVU1" s="231"/>
      <c r="HVV1" s="231"/>
      <c r="HVW1" s="231"/>
      <c r="HVX1" s="231"/>
      <c r="HVY1" s="231"/>
      <c r="HVZ1" s="231"/>
      <c r="HWA1" s="231"/>
      <c r="HWB1" s="231"/>
      <c r="HWC1" s="231"/>
      <c r="HWD1" s="231"/>
      <c r="HWE1" s="231"/>
      <c r="HWF1" s="231"/>
      <c r="HWG1" s="231"/>
      <c r="HWH1" s="231"/>
      <c r="HWI1" s="231"/>
      <c r="HWJ1" s="231"/>
      <c r="HWK1" s="231"/>
      <c r="HWL1" s="231"/>
      <c r="HWM1" s="231"/>
      <c r="HWN1" s="231"/>
      <c r="HWO1" s="231"/>
      <c r="HWP1" s="231"/>
      <c r="HWQ1" s="231"/>
      <c r="HWR1" s="231"/>
      <c r="HWS1" s="231"/>
      <c r="HWT1" s="231"/>
      <c r="HWU1" s="231"/>
      <c r="HWV1" s="231"/>
      <c r="HWW1" s="231"/>
      <c r="HWX1" s="231"/>
      <c r="HWY1" s="231"/>
      <c r="HWZ1" s="231"/>
      <c r="HXA1" s="231"/>
      <c r="HXB1" s="231"/>
      <c r="HXC1" s="231"/>
      <c r="HXD1" s="231"/>
      <c r="HXE1" s="231"/>
      <c r="HXF1" s="231"/>
      <c r="HXG1" s="231"/>
      <c r="HXH1" s="231"/>
      <c r="HXI1" s="231"/>
      <c r="HXJ1" s="231"/>
      <c r="HXK1" s="231"/>
      <c r="HXL1" s="231"/>
      <c r="HXM1" s="231"/>
      <c r="HXN1" s="231"/>
      <c r="HXO1" s="231"/>
      <c r="HXP1" s="231"/>
      <c r="HXQ1" s="231"/>
      <c r="HXR1" s="231"/>
      <c r="HXS1" s="231"/>
      <c r="HXT1" s="231"/>
      <c r="HXU1" s="231"/>
      <c r="HXV1" s="231"/>
      <c r="HXW1" s="231"/>
      <c r="HXX1" s="231"/>
      <c r="HXY1" s="231"/>
      <c r="HXZ1" s="231"/>
      <c r="HYA1" s="231"/>
      <c r="HYB1" s="231"/>
      <c r="HYC1" s="231"/>
      <c r="HYD1" s="231"/>
      <c r="HYE1" s="231"/>
      <c r="HYF1" s="231"/>
      <c r="HYG1" s="231"/>
      <c r="HYH1" s="231"/>
      <c r="HYI1" s="231"/>
      <c r="HYJ1" s="231"/>
      <c r="HYK1" s="231"/>
      <c r="HYL1" s="231"/>
      <c r="HYM1" s="231"/>
      <c r="HYN1" s="231"/>
      <c r="HYO1" s="231"/>
      <c r="HYP1" s="231"/>
      <c r="HYQ1" s="231"/>
      <c r="HYR1" s="231"/>
      <c r="HYS1" s="231"/>
      <c r="HYT1" s="231"/>
      <c r="HYU1" s="231"/>
      <c r="HYV1" s="231"/>
      <c r="HYW1" s="231"/>
      <c r="HYX1" s="231"/>
      <c r="HYY1" s="231"/>
      <c r="HYZ1" s="231"/>
      <c r="HZA1" s="231"/>
      <c r="HZB1" s="231"/>
      <c r="HZC1" s="231"/>
      <c r="HZD1" s="231"/>
      <c r="HZE1" s="231"/>
      <c r="HZF1" s="231"/>
      <c r="HZG1" s="231"/>
      <c r="HZH1" s="231"/>
      <c r="HZI1" s="231"/>
      <c r="HZJ1" s="231"/>
      <c r="HZK1" s="231"/>
      <c r="HZL1" s="231"/>
      <c r="HZM1" s="231"/>
      <c r="HZN1" s="231"/>
      <c r="HZO1" s="231"/>
      <c r="HZP1" s="231"/>
      <c r="HZQ1" s="231"/>
      <c r="HZR1" s="231"/>
      <c r="HZS1" s="231"/>
      <c r="HZT1" s="231"/>
      <c r="HZU1" s="231"/>
      <c r="HZV1" s="231"/>
      <c r="HZW1" s="231"/>
      <c r="HZX1" s="231"/>
      <c r="HZY1" s="231"/>
      <c r="HZZ1" s="231"/>
      <c r="IAA1" s="231"/>
      <c r="IAB1" s="231"/>
      <c r="IAC1" s="231"/>
      <c r="IAD1" s="231"/>
      <c r="IAE1" s="231"/>
      <c r="IAF1" s="231"/>
      <c r="IAG1" s="231"/>
      <c r="IAH1" s="231"/>
      <c r="IAI1" s="231"/>
      <c r="IAJ1" s="231"/>
      <c r="IAK1" s="231"/>
      <c r="IAL1" s="231"/>
      <c r="IAM1" s="231"/>
      <c r="IAN1" s="231"/>
      <c r="IAO1" s="231"/>
      <c r="IAP1" s="231"/>
      <c r="IAQ1" s="231"/>
      <c r="IAR1" s="231"/>
      <c r="IAS1" s="231"/>
      <c r="IAT1" s="231"/>
      <c r="IAU1" s="231"/>
      <c r="IAV1" s="231"/>
      <c r="IAW1" s="231"/>
      <c r="IAX1" s="231"/>
      <c r="IAY1" s="231"/>
      <c r="IAZ1" s="231"/>
      <c r="IBA1" s="231"/>
      <c r="IBB1" s="231"/>
      <c r="IBC1" s="231"/>
      <c r="IBD1" s="231"/>
      <c r="IBE1" s="231"/>
      <c r="IBF1" s="231"/>
      <c r="IBG1" s="231"/>
      <c r="IBH1" s="231"/>
      <c r="IBI1" s="231"/>
      <c r="IBJ1" s="231"/>
      <c r="IBK1" s="231"/>
      <c r="IBL1" s="231"/>
      <c r="IBM1" s="231"/>
      <c r="IBN1" s="231"/>
      <c r="IBO1" s="231"/>
      <c r="IBP1" s="231"/>
      <c r="IBQ1" s="231"/>
      <c r="IBR1" s="231"/>
      <c r="IBS1" s="231"/>
      <c r="IBT1" s="231"/>
      <c r="IBU1" s="231"/>
      <c r="IBV1" s="231"/>
      <c r="IBW1" s="231"/>
      <c r="IBX1" s="231"/>
      <c r="IBY1" s="231"/>
      <c r="IBZ1" s="231"/>
      <c r="ICA1" s="231"/>
      <c r="ICB1" s="231"/>
      <c r="ICC1" s="231"/>
      <c r="ICD1" s="231"/>
      <c r="ICE1" s="231"/>
      <c r="ICF1" s="231"/>
      <c r="ICG1" s="231"/>
      <c r="ICH1" s="231"/>
      <c r="ICI1" s="231"/>
      <c r="ICJ1" s="231"/>
      <c r="ICK1" s="231"/>
      <c r="ICL1" s="231"/>
      <c r="ICM1" s="231"/>
      <c r="ICN1" s="231"/>
      <c r="ICO1" s="231"/>
      <c r="ICP1" s="231"/>
      <c r="ICQ1" s="231"/>
      <c r="ICR1" s="231"/>
      <c r="ICS1" s="231"/>
      <c r="ICT1" s="231"/>
      <c r="ICU1" s="231"/>
      <c r="ICV1" s="231"/>
      <c r="ICW1" s="231"/>
      <c r="ICX1" s="231"/>
      <c r="ICY1" s="231"/>
      <c r="ICZ1" s="231"/>
      <c r="IDA1" s="231"/>
      <c r="IDB1" s="231"/>
      <c r="IDC1" s="231"/>
      <c r="IDD1" s="231"/>
      <c r="IDE1" s="231"/>
      <c r="IDF1" s="231"/>
      <c r="IDG1" s="231"/>
      <c r="IDH1" s="231"/>
      <c r="IDI1" s="231"/>
      <c r="IDJ1" s="231"/>
      <c r="IDK1" s="231"/>
      <c r="IDL1" s="231"/>
      <c r="IDM1" s="231"/>
      <c r="IDN1" s="231"/>
      <c r="IDO1" s="231"/>
      <c r="IDP1" s="231"/>
      <c r="IDQ1" s="231"/>
      <c r="IDR1" s="231"/>
      <c r="IDS1" s="231"/>
      <c r="IDT1" s="231"/>
      <c r="IDU1" s="231"/>
      <c r="IDV1" s="231"/>
      <c r="IDW1" s="231"/>
      <c r="IDX1" s="231"/>
      <c r="IDY1" s="231"/>
      <c r="IDZ1" s="231"/>
      <c r="IEA1" s="231"/>
      <c r="IEB1" s="231"/>
      <c r="IEC1" s="231"/>
      <c r="IED1" s="231"/>
      <c r="IEE1" s="231"/>
      <c r="IEF1" s="231"/>
      <c r="IEG1" s="231"/>
      <c r="IEH1" s="231"/>
      <c r="IEI1" s="231"/>
      <c r="IEJ1" s="231"/>
      <c r="IEK1" s="231"/>
      <c r="IEL1" s="231"/>
      <c r="IEM1" s="231"/>
      <c r="IEN1" s="231"/>
      <c r="IEO1" s="231"/>
      <c r="IEP1" s="231"/>
      <c r="IEQ1" s="231"/>
      <c r="IER1" s="231"/>
      <c r="IES1" s="231"/>
      <c r="IET1" s="231"/>
      <c r="IEU1" s="231"/>
      <c r="IEV1" s="231"/>
      <c r="IEW1" s="231"/>
      <c r="IEX1" s="231"/>
      <c r="IEY1" s="231"/>
      <c r="IEZ1" s="231"/>
      <c r="IFA1" s="231"/>
      <c r="IFB1" s="231"/>
      <c r="IFC1" s="231"/>
      <c r="IFD1" s="231"/>
      <c r="IFE1" s="231"/>
      <c r="IFF1" s="231"/>
      <c r="IFG1" s="231"/>
      <c r="IFH1" s="231"/>
      <c r="IFI1" s="231"/>
      <c r="IFJ1" s="231"/>
      <c r="IFK1" s="231"/>
      <c r="IFL1" s="231"/>
      <c r="IFM1" s="231"/>
      <c r="IFN1" s="231"/>
      <c r="IFO1" s="231"/>
      <c r="IFP1" s="231"/>
      <c r="IFQ1" s="231"/>
      <c r="IFR1" s="231"/>
      <c r="IFS1" s="231"/>
      <c r="IFT1" s="231"/>
      <c r="IFU1" s="231"/>
      <c r="IFV1" s="231"/>
      <c r="IFW1" s="231"/>
      <c r="IFX1" s="231"/>
      <c r="IFY1" s="231"/>
      <c r="IFZ1" s="231"/>
      <c r="IGA1" s="231"/>
      <c r="IGB1" s="231"/>
      <c r="IGC1" s="231"/>
      <c r="IGD1" s="231"/>
      <c r="IGE1" s="231"/>
      <c r="IGF1" s="231"/>
      <c r="IGG1" s="231"/>
      <c r="IGH1" s="231"/>
      <c r="IGI1" s="231"/>
      <c r="IGJ1" s="231"/>
      <c r="IGK1" s="231"/>
      <c r="IGL1" s="231"/>
      <c r="IGM1" s="231"/>
      <c r="IGN1" s="231"/>
      <c r="IGO1" s="231"/>
      <c r="IGP1" s="231"/>
      <c r="IGQ1" s="231"/>
      <c r="IGR1" s="231"/>
      <c r="IGS1" s="231"/>
      <c r="IGT1" s="231"/>
      <c r="IGU1" s="231"/>
      <c r="IGV1" s="231"/>
      <c r="IGW1" s="231"/>
      <c r="IGX1" s="231"/>
      <c r="IGY1" s="231"/>
      <c r="IGZ1" s="231"/>
      <c r="IHA1" s="231"/>
      <c r="IHB1" s="231"/>
      <c r="IHC1" s="231"/>
      <c r="IHD1" s="231"/>
      <c r="IHE1" s="231"/>
      <c r="IHF1" s="231"/>
      <c r="IHG1" s="231"/>
      <c r="IHH1" s="231"/>
      <c r="IHI1" s="231"/>
      <c r="IHJ1" s="231"/>
      <c r="IHK1" s="231"/>
      <c r="IHL1" s="231"/>
      <c r="IHM1" s="231"/>
      <c r="IHN1" s="231"/>
      <c r="IHO1" s="231"/>
      <c r="IHP1" s="231"/>
      <c r="IHQ1" s="231"/>
      <c r="IHR1" s="231"/>
      <c r="IHS1" s="231"/>
      <c r="IHT1" s="231"/>
      <c r="IHU1" s="231"/>
      <c r="IHV1" s="231"/>
      <c r="IHW1" s="231"/>
      <c r="IHX1" s="231"/>
      <c r="IHY1" s="231"/>
      <c r="IHZ1" s="231"/>
      <c r="IIA1" s="231"/>
      <c r="IIB1" s="231"/>
      <c r="IIC1" s="231"/>
      <c r="IID1" s="231"/>
      <c r="IIE1" s="231"/>
      <c r="IIF1" s="231"/>
      <c r="IIG1" s="231"/>
      <c r="IIH1" s="231"/>
      <c r="III1" s="231"/>
      <c r="IIJ1" s="231"/>
      <c r="IIK1" s="231"/>
      <c r="IIL1" s="231"/>
      <c r="IIM1" s="231"/>
      <c r="IIN1" s="231"/>
      <c r="IIO1" s="231"/>
      <c r="IIP1" s="231"/>
      <c r="IIQ1" s="231"/>
      <c r="IIR1" s="231"/>
      <c r="IIS1" s="231"/>
      <c r="IIT1" s="231"/>
      <c r="IIU1" s="231"/>
      <c r="IIV1" s="231"/>
      <c r="IIW1" s="231"/>
      <c r="IIX1" s="231"/>
      <c r="IIY1" s="231"/>
      <c r="IIZ1" s="231"/>
      <c r="IJA1" s="231"/>
      <c r="IJB1" s="231"/>
      <c r="IJC1" s="231"/>
      <c r="IJD1" s="231"/>
      <c r="IJE1" s="231"/>
      <c r="IJF1" s="231"/>
      <c r="IJG1" s="231"/>
      <c r="IJH1" s="231"/>
      <c r="IJI1" s="231"/>
      <c r="IJJ1" s="231"/>
      <c r="IJK1" s="231"/>
      <c r="IJL1" s="231"/>
      <c r="IJM1" s="231"/>
      <c r="IJN1" s="231"/>
      <c r="IJO1" s="231"/>
      <c r="IJP1" s="231"/>
      <c r="IJQ1" s="231"/>
      <c r="IJR1" s="231"/>
      <c r="IJS1" s="231"/>
      <c r="IJT1" s="231"/>
      <c r="IJU1" s="231"/>
      <c r="IJV1" s="231"/>
      <c r="IJW1" s="231"/>
      <c r="IJX1" s="231"/>
      <c r="IJY1" s="231"/>
      <c r="IJZ1" s="231"/>
      <c r="IKA1" s="231"/>
      <c r="IKB1" s="231"/>
      <c r="IKC1" s="231"/>
      <c r="IKD1" s="231"/>
      <c r="IKE1" s="231"/>
      <c r="IKF1" s="231"/>
      <c r="IKG1" s="231"/>
      <c r="IKH1" s="231"/>
      <c r="IKI1" s="231"/>
      <c r="IKJ1" s="231"/>
      <c r="IKK1" s="231"/>
      <c r="IKL1" s="231"/>
      <c r="IKM1" s="231"/>
      <c r="IKN1" s="231"/>
      <c r="IKO1" s="231"/>
      <c r="IKP1" s="231"/>
      <c r="IKQ1" s="231"/>
      <c r="IKR1" s="231"/>
      <c r="IKS1" s="231"/>
      <c r="IKT1" s="231"/>
      <c r="IKU1" s="231"/>
      <c r="IKV1" s="231"/>
      <c r="IKW1" s="231"/>
      <c r="IKX1" s="231"/>
      <c r="IKY1" s="231"/>
      <c r="IKZ1" s="231"/>
      <c r="ILA1" s="231"/>
      <c r="ILB1" s="231"/>
      <c r="ILC1" s="231"/>
      <c r="ILD1" s="231"/>
      <c r="ILE1" s="231"/>
      <c r="ILF1" s="231"/>
      <c r="ILG1" s="231"/>
      <c r="ILH1" s="231"/>
      <c r="ILI1" s="231"/>
      <c r="ILJ1" s="231"/>
      <c r="ILK1" s="231"/>
      <c r="ILL1" s="231"/>
      <c r="ILM1" s="231"/>
      <c r="ILN1" s="231"/>
      <c r="ILO1" s="231"/>
      <c r="ILP1" s="231"/>
      <c r="ILQ1" s="231"/>
      <c r="ILR1" s="231"/>
      <c r="ILS1" s="231"/>
      <c r="ILT1" s="231"/>
      <c r="ILU1" s="231"/>
      <c r="ILV1" s="231"/>
      <c r="ILW1" s="231"/>
      <c r="ILX1" s="231"/>
      <c r="ILY1" s="231"/>
      <c r="ILZ1" s="231"/>
      <c r="IMA1" s="231"/>
      <c r="IMB1" s="231"/>
      <c r="IMC1" s="231"/>
      <c r="IMD1" s="231"/>
      <c r="IME1" s="231"/>
      <c r="IMF1" s="231"/>
      <c r="IMG1" s="231"/>
      <c r="IMH1" s="231"/>
      <c r="IMI1" s="231"/>
      <c r="IMJ1" s="231"/>
      <c r="IMK1" s="231"/>
      <c r="IML1" s="231"/>
      <c r="IMM1" s="231"/>
      <c r="IMN1" s="231"/>
      <c r="IMO1" s="231"/>
      <c r="IMP1" s="231"/>
      <c r="IMQ1" s="231"/>
      <c r="IMR1" s="231"/>
      <c r="IMS1" s="231"/>
      <c r="IMT1" s="231"/>
      <c r="IMU1" s="231"/>
      <c r="IMV1" s="231"/>
      <c r="IMW1" s="231"/>
      <c r="IMX1" s="231"/>
      <c r="IMY1" s="231"/>
      <c r="IMZ1" s="231"/>
      <c r="INA1" s="231"/>
      <c r="INB1" s="231"/>
      <c r="INC1" s="231"/>
      <c r="IND1" s="231"/>
      <c r="INE1" s="231"/>
      <c r="INF1" s="231"/>
      <c r="ING1" s="231"/>
      <c r="INH1" s="231"/>
      <c r="INI1" s="231"/>
      <c r="INJ1" s="231"/>
      <c r="INK1" s="231"/>
      <c r="INL1" s="231"/>
      <c r="INM1" s="231"/>
      <c r="INN1" s="231"/>
      <c r="INO1" s="231"/>
      <c r="INP1" s="231"/>
      <c r="INQ1" s="231"/>
      <c r="INR1" s="231"/>
      <c r="INS1" s="231"/>
      <c r="INT1" s="231"/>
      <c r="INU1" s="231"/>
      <c r="INV1" s="231"/>
      <c r="INW1" s="231"/>
      <c r="INX1" s="231"/>
      <c r="INY1" s="231"/>
      <c r="INZ1" s="231"/>
      <c r="IOA1" s="231"/>
      <c r="IOB1" s="231"/>
      <c r="IOC1" s="231"/>
      <c r="IOD1" s="231"/>
      <c r="IOE1" s="231"/>
      <c r="IOF1" s="231"/>
      <c r="IOG1" s="231"/>
      <c r="IOH1" s="231"/>
      <c r="IOI1" s="231"/>
      <c r="IOJ1" s="231"/>
      <c r="IOK1" s="231"/>
      <c r="IOL1" s="231"/>
      <c r="IOM1" s="231"/>
      <c r="ION1" s="231"/>
      <c r="IOO1" s="231"/>
      <c r="IOP1" s="231"/>
      <c r="IOQ1" s="231"/>
      <c r="IOR1" s="231"/>
      <c r="IOS1" s="231"/>
      <c r="IOT1" s="231"/>
      <c r="IOU1" s="231"/>
      <c r="IOV1" s="231"/>
      <c r="IOW1" s="231"/>
      <c r="IOX1" s="231"/>
      <c r="IOY1" s="231"/>
      <c r="IOZ1" s="231"/>
      <c r="IPA1" s="231"/>
      <c r="IPB1" s="231"/>
      <c r="IPC1" s="231"/>
      <c r="IPD1" s="231"/>
      <c r="IPE1" s="231"/>
      <c r="IPF1" s="231"/>
      <c r="IPG1" s="231"/>
      <c r="IPH1" s="231"/>
      <c r="IPI1" s="231"/>
      <c r="IPJ1" s="231"/>
      <c r="IPK1" s="231"/>
      <c r="IPL1" s="231"/>
      <c r="IPM1" s="231"/>
      <c r="IPN1" s="231"/>
      <c r="IPO1" s="231"/>
      <c r="IPP1" s="231"/>
      <c r="IPQ1" s="231"/>
      <c r="IPR1" s="231"/>
      <c r="IPS1" s="231"/>
      <c r="IPT1" s="231"/>
      <c r="IPU1" s="231"/>
      <c r="IPV1" s="231"/>
      <c r="IPW1" s="231"/>
      <c r="IPX1" s="231"/>
      <c r="IPY1" s="231"/>
      <c r="IPZ1" s="231"/>
      <c r="IQA1" s="231"/>
      <c r="IQB1" s="231"/>
      <c r="IQC1" s="231"/>
      <c r="IQD1" s="231"/>
      <c r="IQE1" s="231"/>
      <c r="IQF1" s="231"/>
      <c r="IQG1" s="231"/>
      <c r="IQH1" s="231"/>
      <c r="IQI1" s="231"/>
      <c r="IQJ1" s="231"/>
      <c r="IQK1" s="231"/>
      <c r="IQL1" s="231"/>
      <c r="IQM1" s="231"/>
      <c r="IQN1" s="231"/>
      <c r="IQO1" s="231"/>
      <c r="IQP1" s="231"/>
      <c r="IQQ1" s="231"/>
      <c r="IQR1" s="231"/>
      <c r="IQS1" s="231"/>
      <c r="IQT1" s="231"/>
      <c r="IQU1" s="231"/>
      <c r="IQV1" s="231"/>
      <c r="IQW1" s="231"/>
      <c r="IQX1" s="231"/>
      <c r="IQY1" s="231"/>
      <c r="IQZ1" s="231"/>
      <c r="IRA1" s="231"/>
      <c r="IRB1" s="231"/>
      <c r="IRC1" s="231"/>
      <c r="IRD1" s="231"/>
      <c r="IRE1" s="231"/>
      <c r="IRF1" s="231"/>
      <c r="IRG1" s="231"/>
      <c r="IRH1" s="231"/>
      <c r="IRI1" s="231"/>
      <c r="IRJ1" s="231"/>
      <c r="IRK1" s="231"/>
      <c r="IRL1" s="231"/>
      <c r="IRM1" s="231"/>
      <c r="IRN1" s="231"/>
      <c r="IRO1" s="231"/>
      <c r="IRP1" s="231"/>
      <c r="IRQ1" s="231"/>
      <c r="IRR1" s="231"/>
      <c r="IRS1" s="231"/>
      <c r="IRT1" s="231"/>
      <c r="IRU1" s="231"/>
      <c r="IRV1" s="231"/>
      <c r="IRW1" s="231"/>
      <c r="IRX1" s="231"/>
      <c r="IRY1" s="231"/>
      <c r="IRZ1" s="231"/>
      <c r="ISA1" s="231"/>
      <c r="ISB1" s="231"/>
      <c r="ISC1" s="231"/>
      <c r="ISD1" s="231"/>
      <c r="ISE1" s="231"/>
      <c r="ISF1" s="231"/>
      <c r="ISG1" s="231"/>
      <c r="ISH1" s="231"/>
      <c r="ISI1" s="231"/>
      <c r="ISJ1" s="231"/>
      <c r="ISK1" s="231"/>
      <c r="ISL1" s="231"/>
      <c r="ISM1" s="231"/>
      <c r="ISN1" s="231"/>
      <c r="ISO1" s="231"/>
      <c r="ISP1" s="231"/>
      <c r="ISQ1" s="231"/>
      <c r="ISR1" s="231"/>
      <c r="ISS1" s="231"/>
      <c r="IST1" s="231"/>
      <c r="ISU1" s="231"/>
      <c r="ISV1" s="231"/>
      <c r="ISW1" s="231"/>
      <c r="ISX1" s="231"/>
      <c r="ISY1" s="231"/>
      <c r="ISZ1" s="231"/>
      <c r="ITA1" s="231"/>
      <c r="ITB1" s="231"/>
      <c r="ITC1" s="231"/>
      <c r="ITD1" s="231"/>
      <c r="ITE1" s="231"/>
      <c r="ITF1" s="231"/>
      <c r="ITG1" s="231"/>
      <c r="ITH1" s="231"/>
      <c r="ITI1" s="231"/>
      <c r="ITJ1" s="231"/>
      <c r="ITK1" s="231"/>
      <c r="ITL1" s="231"/>
      <c r="ITM1" s="231"/>
      <c r="ITN1" s="231"/>
      <c r="ITO1" s="231"/>
      <c r="ITP1" s="231"/>
      <c r="ITQ1" s="231"/>
      <c r="ITR1" s="231"/>
      <c r="ITS1" s="231"/>
      <c r="ITT1" s="231"/>
      <c r="ITU1" s="231"/>
      <c r="ITV1" s="231"/>
      <c r="ITW1" s="231"/>
      <c r="ITX1" s="231"/>
      <c r="ITY1" s="231"/>
      <c r="ITZ1" s="231"/>
      <c r="IUA1" s="231"/>
      <c r="IUB1" s="231"/>
      <c r="IUC1" s="231"/>
      <c r="IUD1" s="231"/>
      <c r="IUE1" s="231"/>
      <c r="IUF1" s="231"/>
      <c r="IUG1" s="231"/>
      <c r="IUH1" s="231"/>
      <c r="IUI1" s="231"/>
      <c r="IUJ1" s="231"/>
      <c r="IUK1" s="231"/>
      <c r="IUL1" s="231"/>
      <c r="IUM1" s="231"/>
      <c r="IUN1" s="231"/>
      <c r="IUO1" s="231"/>
      <c r="IUP1" s="231"/>
      <c r="IUQ1" s="231"/>
      <c r="IUR1" s="231"/>
      <c r="IUS1" s="231"/>
      <c r="IUT1" s="231"/>
      <c r="IUU1" s="231"/>
      <c r="IUV1" s="231"/>
      <c r="IUW1" s="231"/>
      <c r="IUX1" s="231"/>
      <c r="IUY1" s="231"/>
      <c r="IUZ1" s="231"/>
      <c r="IVA1" s="231"/>
      <c r="IVB1" s="231"/>
      <c r="IVC1" s="231"/>
      <c r="IVD1" s="231"/>
      <c r="IVE1" s="231"/>
      <c r="IVF1" s="231"/>
      <c r="IVG1" s="231"/>
      <c r="IVH1" s="231"/>
      <c r="IVI1" s="231"/>
      <c r="IVJ1" s="231"/>
      <c r="IVK1" s="231"/>
      <c r="IVL1" s="231"/>
      <c r="IVM1" s="231"/>
      <c r="IVN1" s="231"/>
      <c r="IVO1" s="231"/>
      <c r="IVP1" s="231"/>
      <c r="IVQ1" s="231"/>
      <c r="IVR1" s="231"/>
      <c r="IVS1" s="231"/>
      <c r="IVT1" s="231"/>
      <c r="IVU1" s="231"/>
      <c r="IVV1" s="231"/>
      <c r="IVW1" s="231"/>
      <c r="IVX1" s="231"/>
      <c r="IVY1" s="231"/>
      <c r="IVZ1" s="231"/>
      <c r="IWA1" s="231"/>
      <c r="IWB1" s="231"/>
      <c r="IWC1" s="231"/>
      <c r="IWD1" s="231"/>
      <c r="IWE1" s="231"/>
      <c r="IWF1" s="231"/>
      <c r="IWG1" s="231"/>
      <c r="IWH1" s="231"/>
      <c r="IWI1" s="231"/>
      <c r="IWJ1" s="231"/>
      <c r="IWK1" s="231"/>
      <c r="IWL1" s="231"/>
      <c r="IWM1" s="231"/>
      <c r="IWN1" s="231"/>
      <c r="IWO1" s="231"/>
      <c r="IWP1" s="231"/>
      <c r="IWQ1" s="231"/>
      <c r="IWR1" s="231"/>
      <c r="IWS1" s="231"/>
      <c r="IWT1" s="231"/>
      <c r="IWU1" s="231"/>
      <c r="IWV1" s="231"/>
      <c r="IWW1" s="231"/>
      <c r="IWX1" s="231"/>
      <c r="IWY1" s="231"/>
      <c r="IWZ1" s="231"/>
      <c r="IXA1" s="231"/>
      <c r="IXB1" s="231"/>
      <c r="IXC1" s="231"/>
      <c r="IXD1" s="231"/>
      <c r="IXE1" s="231"/>
      <c r="IXF1" s="231"/>
      <c r="IXG1" s="231"/>
      <c r="IXH1" s="231"/>
      <c r="IXI1" s="231"/>
      <c r="IXJ1" s="231"/>
      <c r="IXK1" s="231"/>
      <c r="IXL1" s="231"/>
      <c r="IXM1" s="231"/>
      <c r="IXN1" s="231"/>
      <c r="IXO1" s="231"/>
      <c r="IXP1" s="231"/>
      <c r="IXQ1" s="231"/>
      <c r="IXR1" s="231"/>
      <c r="IXS1" s="231"/>
      <c r="IXT1" s="231"/>
      <c r="IXU1" s="231"/>
      <c r="IXV1" s="231"/>
      <c r="IXW1" s="231"/>
      <c r="IXX1" s="231"/>
      <c r="IXY1" s="231"/>
      <c r="IXZ1" s="231"/>
      <c r="IYA1" s="231"/>
      <c r="IYB1" s="231"/>
      <c r="IYC1" s="231"/>
      <c r="IYD1" s="231"/>
      <c r="IYE1" s="231"/>
      <c r="IYF1" s="231"/>
      <c r="IYG1" s="231"/>
      <c r="IYH1" s="231"/>
      <c r="IYI1" s="231"/>
      <c r="IYJ1" s="231"/>
      <c r="IYK1" s="231"/>
      <c r="IYL1" s="231"/>
      <c r="IYM1" s="231"/>
      <c r="IYN1" s="231"/>
      <c r="IYO1" s="231"/>
      <c r="IYP1" s="231"/>
      <c r="IYQ1" s="231"/>
      <c r="IYR1" s="231"/>
      <c r="IYS1" s="231"/>
      <c r="IYT1" s="231"/>
      <c r="IYU1" s="231"/>
      <c r="IYV1" s="231"/>
      <c r="IYW1" s="231"/>
      <c r="IYX1" s="231"/>
      <c r="IYY1" s="231"/>
      <c r="IYZ1" s="231"/>
      <c r="IZA1" s="231"/>
      <c r="IZB1" s="231"/>
      <c r="IZC1" s="231"/>
      <c r="IZD1" s="231"/>
      <c r="IZE1" s="231"/>
      <c r="IZF1" s="231"/>
      <c r="IZG1" s="231"/>
      <c r="IZH1" s="231"/>
      <c r="IZI1" s="231"/>
      <c r="IZJ1" s="231"/>
      <c r="IZK1" s="231"/>
      <c r="IZL1" s="231"/>
      <c r="IZM1" s="231"/>
      <c r="IZN1" s="231"/>
      <c r="IZO1" s="231"/>
      <c r="IZP1" s="231"/>
      <c r="IZQ1" s="231"/>
      <c r="IZR1" s="231"/>
      <c r="IZS1" s="231"/>
      <c r="IZT1" s="231"/>
      <c r="IZU1" s="231"/>
      <c r="IZV1" s="231"/>
      <c r="IZW1" s="231"/>
      <c r="IZX1" s="231"/>
      <c r="IZY1" s="231"/>
      <c r="IZZ1" s="231"/>
      <c r="JAA1" s="231"/>
      <c r="JAB1" s="231"/>
      <c r="JAC1" s="231"/>
      <c r="JAD1" s="231"/>
      <c r="JAE1" s="231"/>
      <c r="JAF1" s="231"/>
      <c r="JAG1" s="231"/>
      <c r="JAH1" s="231"/>
      <c r="JAI1" s="231"/>
      <c r="JAJ1" s="231"/>
      <c r="JAK1" s="231"/>
      <c r="JAL1" s="231"/>
      <c r="JAM1" s="231"/>
      <c r="JAN1" s="231"/>
      <c r="JAO1" s="231"/>
      <c r="JAP1" s="231"/>
      <c r="JAQ1" s="231"/>
      <c r="JAR1" s="231"/>
      <c r="JAS1" s="231"/>
      <c r="JAT1" s="231"/>
      <c r="JAU1" s="231"/>
      <c r="JAV1" s="231"/>
      <c r="JAW1" s="231"/>
      <c r="JAX1" s="231"/>
      <c r="JAY1" s="231"/>
      <c r="JAZ1" s="231"/>
      <c r="JBA1" s="231"/>
      <c r="JBB1" s="231"/>
      <c r="JBC1" s="231"/>
      <c r="JBD1" s="231"/>
      <c r="JBE1" s="231"/>
      <c r="JBF1" s="231"/>
      <c r="JBG1" s="231"/>
      <c r="JBH1" s="231"/>
      <c r="JBI1" s="231"/>
      <c r="JBJ1" s="231"/>
      <c r="JBK1" s="231"/>
      <c r="JBL1" s="231"/>
      <c r="JBM1" s="231"/>
      <c r="JBN1" s="231"/>
      <c r="JBO1" s="231"/>
      <c r="JBP1" s="231"/>
      <c r="JBQ1" s="231"/>
      <c r="JBR1" s="231"/>
      <c r="JBS1" s="231"/>
      <c r="JBT1" s="231"/>
      <c r="JBU1" s="231"/>
      <c r="JBV1" s="231"/>
      <c r="JBW1" s="231"/>
      <c r="JBX1" s="231"/>
      <c r="JBY1" s="231"/>
      <c r="JBZ1" s="231"/>
      <c r="JCA1" s="231"/>
      <c r="JCB1" s="231"/>
      <c r="JCC1" s="231"/>
      <c r="JCD1" s="231"/>
      <c r="JCE1" s="231"/>
      <c r="JCF1" s="231"/>
      <c r="JCG1" s="231"/>
      <c r="JCH1" s="231"/>
      <c r="JCI1" s="231"/>
      <c r="JCJ1" s="231"/>
      <c r="JCK1" s="231"/>
      <c r="JCL1" s="231"/>
      <c r="JCM1" s="231"/>
      <c r="JCN1" s="231"/>
      <c r="JCO1" s="231"/>
      <c r="JCP1" s="231"/>
      <c r="JCQ1" s="231"/>
      <c r="JCR1" s="231"/>
      <c r="JCS1" s="231"/>
      <c r="JCT1" s="231"/>
      <c r="JCU1" s="231"/>
      <c r="JCV1" s="231"/>
      <c r="JCW1" s="231"/>
      <c r="JCX1" s="231"/>
      <c r="JCY1" s="231"/>
      <c r="JCZ1" s="231"/>
      <c r="JDA1" s="231"/>
      <c r="JDB1" s="231"/>
      <c r="JDC1" s="231"/>
      <c r="JDD1" s="231"/>
      <c r="JDE1" s="231"/>
      <c r="JDF1" s="231"/>
      <c r="JDG1" s="231"/>
      <c r="JDH1" s="231"/>
      <c r="JDI1" s="231"/>
      <c r="JDJ1" s="231"/>
      <c r="JDK1" s="231"/>
      <c r="JDL1" s="231"/>
      <c r="JDM1" s="231"/>
      <c r="JDN1" s="231"/>
      <c r="JDO1" s="231"/>
      <c r="JDP1" s="231"/>
      <c r="JDQ1" s="231"/>
      <c r="JDR1" s="231"/>
      <c r="JDS1" s="231"/>
      <c r="JDT1" s="231"/>
      <c r="JDU1" s="231"/>
      <c r="JDV1" s="231"/>
      <c r="JDW1" s="231"/>
      <c r="JDX1" s="231"/>
      <c r="JDY1" s="231"/>
      <c r="JDZ1" s="231"/>
      <c r="JEA1" s="231"/>
      <c r="JEB1" s="231"/>
      <c r="JEC1" s="231"/>
      <c r="JED1" s="231"/>
      <c r="JEE1" s="231"/>
      <c r="JEF1" s="231"/>
      <c r="JEG1" s="231"/>
      <c r="JEH1" s="231"/>
      <c r="JEI1" s="231"/>
      <c r="JEJ1" s="231"/>
      <c r="JEK1" s="231"/>
      <c r="JEL1" s="231"/>
      <c r="JEM1" s="231"/>
      <c r="JEN1" s="231"/>
      <c r="JEO1" s="231"/>
      <c r="JEP1" s="231"/>
      <c r="JEQ1" s="231"/>
      <c r="JER1" s="231"/>
      <c r="JES1" s="231"/>
      <c r="JET1" s="231"/>
      <c r="JEU1" s="231"/>
      <c r="JEV1" s="231"/>
      <c r="JEW1" s="231"/>
      <c r="JEX1" s="231"/>
      <c r="JEY1" s="231"/>
      <c r="JEZ1" s="231"/>
      <c r="JFA1" s="231"/>
      <c r="JFB1" s="231"/>
      <c r="JFC1" s="231"/>
      <c r="JFD1" s="231"/>
      <c r="JFE1" s="231"/>
      <c r="JFF1" s="231"/>
      <c r="JFG1" s="231"/>
      <c r="JFH1" s="231"/>
      <c r="JFI1" s="231"/>
      <c r="JFJ1" s="231"/>
      <c r="JFK1" s="231"/>
      <c r="JFL1" s="231"/>
      <c r="JFM1" s="231"/>
      <c r="JFN1" s="231"/>
      <c r="JFO1" s="231"/>
      <c r="JFP1" s="231"/>
      <c r="JFQ1" s="231"/>
      <c r="JFR1" s="231"/>
      <c r="JFS1" s="231"/>
      <c r="JFT1" s="231"/>
      <c r="JFU1" s="231"/>
      <c r="JFV1" s="231"/>
      <c r="JFW1" s="231"/>
      <c r="JFX1" s="231"/>
      <c r="JFY1" s="231"/>
      <c r="JFZ1" s="231"/>
      <c r="JGA1" s="231"/>
      <c r="JGB1" s="231"/>
      <c r="JGC1" s="231"/>
      <c r="JGD1" s="231"/>
      <c r="JGE1" s="231"/>
      <c r="JGF1" s="231"/>
      <c r="JGG1" s="231"/>
      <c r="JGH1" s="231"/>
      <c r="JGI1" s="231"/>
      <c r="JGJ1" s="231"/>
      <c r="JGK1" s="231"/>
      <c r="JGL1" s="231"/>
      <c r="JGM1" s="231"/>
      <c r="JGN1" s="231"/>
      <c r="JGO1" s="231"/>
      <c r="JGP1" s="231"/>
      <c r="JGQ1" s="231"/>
      <c r="JGR1" s="231"/>
      <c r="JGS1" s="231"/>
      <c r="JGT1" s="231"/>
      <c r="JGU1" s="231"/>
      <c r="JGV1" s="231"/>
      <c r="JGW1" s="231"/>
      <c r="JGX1" s="231"/>
      <c r="JGY1" s="231"/>
      <c r="JGZ1" s="231"/>
      <c r="JHA1" s="231"/>
      <c r="JHB1" s="231"/>
      <c r="JHC1" s="231"/>
      <c r="JHD1" s="231"/>
      <c r="JHE1" s="231"/>
      <c r="JHF1" s="231"/>
      <c r="JHG1" s="231"/>
      <c r="JHH1" s="231"/>
      <c r="JHI1" s="231"/>
      <c r="JHJ1" s="231"/>
      <c r="JHK1" s="231"/>
      <c r="JHL1" s="231"/>
      <c r="JHM1" s="231"/>
      <c r="JHN1" s="231"/>
      <c r="JHO1" s="231"/>
      <c r="JHP1" s="231"/>
      <c r="JHQ1" s="231"/>
      <c r="JHR1" s="231"/>
      <c r="JHS1" s="231"/>
      <c r="JHT1" s="231"/>
      <c r="JHU1" s="231"/>
      <c r="JHV1" s="231"/>
      <c r="JHW1" s="231"/>
      <c r="JHX1" s="231"/>
      <c r="JHY1" s="231"/>
      <c r="JHZ1" s="231"/>
      <c r="JIA1" s="231"/>
      <c r="JIB1" s="231"/>
      <c r="JIC1" s="231"/>
      <c r="JID1" s="231"/>
      <c r="JIE1" s="231"/>
      <c r="JIF1" s="231"/>
      <c r="JIG1" s="231"/>
      <c r="JIH1" s="231"/>
      <c r="JII1" s="231"/>
      <c r="JIJ1" s="231"/>
      <c r="JIK1" s="231"/>
      <c r="JIL1" s="231"/>
      <c r="JIM1" s="231"/>
      <c r="JIN1" s="231"/>
      <c r="JIO1" s="231"/>
      <c r="JIP1" s="231"/>
      <c r="JIQ1" s="231"/>
      <c r="JIR1" s="231"/>
      <c r="JIS1" s="231"/>
      <c r="JIT1" s="231"/>
      <c r="JIU1" s="231"/>
      <c r="JIV1" s="231"/>
      <c r="JIW1" s="231"/>
      <c r="JIX1" s="231"/>
      <c r="JIY1" s="231"/>
      <c r="JIZ1" s="231"/>
      <c r="JJA1" s="231"/>
      <c r="JJB1" s="231"/>
      <c r="JJC1" s="231"/>
      <c r="JJD1" s="231"/>
      <c r="JJE1" s="231"/>
      <c r="JJF1" s="231"/>
      <c r="JJG1" s="231"/>
      <c r="JJH1" s="231"/>
      <c r="JJI1" s="231"/>
      <c r="JJJ1" s="231"/>
      <c r="JJK1" s="231"/>
      <c r="JJL1" s="231"/>
      <c r="JJM1" s="231"/>
      <c r="JJN1" s="231"/>
      <c r="JJO1" s="231"/>
      <c r="JJP1" s="231"/>
      <c r="JJQ1" s="231"/>
      <c r="JJR1" s="231"/>
      <c r="JJS1" s="231"/>
      <c r="JJT1" s="231"/>
      <c r="JJU1" s="231"/>
      <c r="JJV1" s="231"/>
      <c r="JJW1" s="231"/>
      <c r="JJX1" s="231"/>
      <c r="JJY1" s="231"/>
      <c r="JJZ1" s="231"/>
      <c r="JKA1" s="231"/>
      <c r="JKB1" s="231"/>
      <c r="JKC1" s="231"/>
      <c r="JKD1" s="231"/>
      <c r="JKE1" s="231"/>
      <c r="JKF1" s="231"/>
      <c r="JKG1" s="231"/>
      <c r="JKH1" s="231"/>
      <c r="JKI1" s="231"/>
      <c r="JKJ1" s="231"/>
      <c r="JKK1" s="231"/>
      <c r="JKL1" s="231"/>
      <c r="JKM1" s="231"/>
      <c r="JKN1" s="231"/>
      <c r="JKO1" s="231"/>
      <c r="JKP1" s="231"/>
      <c r="JKQ1" s="231"/>
      <c r="JKR1" s="231"/>
      <c r="JKS1" s="231"/>
      <c r="JKT1" s="231"/>
      <c r="JKU1" s="231"/>
      <c r="JKV1" s="231"/>
      <c r="JKW1" s="231"/>
      <c r="JKX1" s="231"/>
      <c r="JKY1" s="231"/>
      <c r="JKZ1" s="231"/>
      <c r="JLA1" s="231"/>
      <c r="JLB1" s="231"/>
      <c r="JLC1" s="231"/>
      <c r="JLD1" s="231"/>
      <c r="JLE1" s="231"/>
      <c r="JLF1" s="231"/>
      <c r="JLG1" s="231"/>
      <c r="JLH1" s="231"/>
      <c r="JLI1" s="231"/>
      <c r="JLJ1" s="231"/>
      <c r="JLK1" s="231"/>
      <c r="JLL1" s="231"/>
      <c r="JLM1" s="231"/>
      <c r="JLN1" s="231"/>
      <c r="JLO1" s="231"/>
      <c r="JLP1" s="231"/>
      <c r="JLQ1" s="231"/>
      <c r="JLR1" s="231"/>
      <c r="JLS1" s="231"/>
      <c r="JLT1" s="231"/>
      <c r="JLU1" s="231"/>
      <c r="JLV1" s="231"/>
      <c r="JLW1" s="231"/>
      <c r="JLX1" s="231"/>
      <c r="JLY1" s="231"/>
      <c r="JLZ1" s="231"/>
      <c r="JMA1" s="231"/>
      <c r="JMB1" s="231"/>
      <c r="JMC1" s="231"/>
      <c r="JMD1" s="231"/>
      <c r="JME1" s="231"/>
      <c r="JMF1" s="231"/>
      <c r="JMG1" s="231"/>
      <c r="JMH1" s="231"/>
      <c r="JMI1" s="231"/>
      <c r="JMJ1" s="231"/>
      <c r="JMK1" s="231"/>
      <c r="JML1" s="231"/>
      <c r="JMM1" s="231"/>
      <c r="JMN1" s="231"/>
      <c r="JMO1" s="231"/>
      <c r="JMP1" s="231"/>
      <c r="JMQ1" s="231"/>
      <c r="JMR1" s="231"/>
      <c r="JMS1" s="231"/>
      <c r="JMT1" s="231"/>
      <c r="JMU1" s="231"/>
      <c r="JMV1" s="231"/>
      <c r="JMW1" s="231"/>
      <c r="JMX1" s="231"/>
      <c r="JMY1" s="231"/>
      <c r="JMZ1" s="231"/>
      <c r="JNA1" s="231"/>
      <c r="JNB1" s="231"/>
      <c r="JNC1" s="231"/>
      <c r="JND1" s="231"/>
      <c r="JNE1" s="231"/>
      <c r="JNF1" s="231"/>
      <c r="JNG1" s="231"/>
      <c r="JNH1" s="231"/>
      <c r="JNI1" s="231"/>
      <c r="JNJ1" s="231"/>
      <c r="JNK1" s="231"/>
      <c r="JNL1" s="231"/>
      <c r="JNM1" s="231"/>
      <c r="JNN1" s="231"/>
      <c r="JNO1" s="231"/>
      <c r="JNP1" s="231"/>
      <c r="JNQ1" s="231"/>
      <c r="JNR1" s="231"/>
      <c r="JNS1" s="231"/>
      <c r="JNT1" s="231"/>
      <c r="JNU1" s="231"/>
      <c r="JNV1" s="231"/>
      <c r="JNW1" s="231"/>
      <c r="JNX1" s="231"/>
      <c r="JNY1" s="231"/>
      <c r="JNZ1" s="231"/>
      <c r="JOA1" s="231"/>
      <c r="JOB1" s="231"/>
      <c r="JOC1" s="231"/>
      <c r="JOD1" s="231"/>
      <c r="JOE1" s="231"/>
      <c r="JOF1" s="231"/>
      <c r="JOG1" s="231"/>
      <c r="JOH1" s="231"/>
      <c r="JOI1" s="231"/>
      <c r="JOJ1" s="231"/>
      <c r="JOK1" s="231"/>
      <c r="JOL1" s="231"/>
      <c r="JOM1" s="231"/>
      <c r="JON1" s="231"/>
      <c r="JOO1" s="231"/>
      <c r="JOP1" s="231"/>
      <c r="JOQ1" s="231"/>
      <c r="JOR1" s="231"/>
      <c r="JOS1" s="231"/>
      <c r="JOT1" s="231"/>
      <c r="JOU1" s="231"/>
      <c r="JOV1" s="231"/>
      <c r="JOW1" s="231"/>
      <c r="JOX1" s="231"/>
      <c r="JOY1" s="231"/>
      <c r="JOZ1" s="231"/>
      <c r="JPA1" s="231"/>
      <c r="JPB1" s="231"/>
      <c r="JPC1" s="231"/>
      <c r="JPD1" s="231"/>
      <c r="JPE1" s="231"/>
      <c r="JPF1" s="231"/>
      <c r="JPG1" s="231"/>
      <c r="JPH1" s="231"/>
      <c r="JPI1" s="231"/>
      <c r="JPJ1" s="231"/>
      <c r="JPK1" s="231"/>
      <c r="JPL1" s="231"/>
      <c r="JPM1" s="231"/>
      <c r="JPN1" s="231"/>
      <c r="JPO1" s="231"/>
      <c r="JPP1" s="231"/>
      <c r="JPQ1" s="231"/>
      <c r="JPR1" s="231"/>
      <c r="JPS1" s="231"/>
      <c r="JPT1" s="231"/>
      <c r="JPU1" s="231"/>
      <c r="JPV1" s="231"/>
      <c r="JPW1" s="231"/>
      <c r="JPX1" s="231"/>
      <c r="JPY1" s="231"/>
      <c r="JPZ1" s="231"/>
      <c r="JQA1" s="231"/>
      <c r="JQB1" s="231"/>
      <c r="JQC1" s="231"/>
      <c r="JQD1" s="231"/>
      <c r="JQE1" s="231"/>
      <c r="JQF1" s="231"/>
      <c r="JQG1" s="231"/>
      <c r="JQH1" s="231"/>
      <c r="JQI1" s="231"/>
      <c r="JQJ1" s="231"/>
      <c r="JQK1" s="231"/>
      <c r="JQL1" s="231"/>
      <c r="JQM1" s="231"/>
      <c r="JQN1" s="231"/>
      <c r="JQO1" s="231"/>
      <c r="JQP1" s="231"/>
      <c r="JQQ1" s="231"/>
      <c r="JQR1" s="231"/>
      <c r="JQS1" s="231"/>
      <c r="JQT1" s="231"/>
      <c r="JQU1" s="231"/>
      <c r="JQV1" s="231"/>
      <c r="JQW1" s="231"/>
      <c r="JQX1" s="231"/>
      <c r="JQY1" s="231"/>
      <c r="JQZ1" s="231"/>
      <c r="JRA1" s="231"/>
      <c r="JRB1" s="231"/>
      <c r="JRC1" s="231"/>
      <c r="JRD1" s="231"/>
      <c r="JRE1" s="231"/>
      <c r="JRF1" s="231"/>
      <c r="JRG1" s="231"/>
      <c r="JRH1" s="231"/>
      <c r="JRI1" s="231"/>
      <c r="JRJ1" s="231"/>
      <c r="JRK1" s="231"/>
      <c r="JRL1" s="231"/>
      <c r="JRM1" s="231"/>
      <c r="JRN1" s="231"/>
      <c r="JRO1" s="231"/>
      <c r="JRP1" s="231"/>
      <c r="JRQ1" s="231"/>
      <c r="JRR1" s="231"/>
      <c r="JRS1" s="231"/>
      <c r="JRT1" s="231"/>
      <c r="JRU1" s="231"/>
      <c r="JRV1" s="231"/>
      <c r="JRW1" s="231"/>
      <c r="JRX1" s="231"/>
      <c r="JRY1" s="231"/>
      <c r="JRZ1" s="231"/>
      <c r="JSA1" s="231"/>
      <c r="JSB1" s="231"/>
      <c r="JSC1" s="231"/>
      <c r="JSD1" s="231"/>
      <c r="JSE1" s="231"/>
      <c r="JSF1" s="231"/>
      <c r="JSG1" s="231"/>
      <c r="JSH1" s="231"/>
      <c r="JSI1" s="231"/>
      <c r="JSJ1" s="231"/>
      <c r="JSK1" s="231"/>
      <c r="JSL1" s="231"/>
      <c r="JSM1" s="231"/>
      <c r="JSN1" s="231"/>
      <c r="JSO1" s="231"/>
      <c r="JSP1" s="231"/>
      <c r="JSQ1" s="231"/>
      <c r="JSR1" s="231"/>
      <c r="JSS1" s="231"/>
      <c r="JST1" s="231"/>
      <c r="JSU1" s="231"/>
      <c r="JSV1" s="231"/>
      <c r="JSW1" s="231"/>
      <c r="JSX1" s="231"/>
      <c r="JSY1" s="231"/>
      <c r="JSZ1" s="231"/>
      <c r="JTA1" s="231"/>
      <c r="JTB1" s="231"/>
      <c r="JTC1" s="231"/>
      <c r="JTD1" s="231"/>
      <c r="JTE1" s="231"/>
      <c r="JTF1" s="231"/>
      <c r="JTG1" s="231"/>
      <c r="JTH1" s="231"/>
      <c r="JTI1" s="231"/>
      <c r="JTJ1" s="231"/>
      <c r="JTK1" s="231"/>
      <c r="JTL1" s="231"/>
      <c r="JTM1" s="231"/>
      <c r="JTN1" s="231"/>
      <c r="JTO1" s="231"/>
      <c r="JTP1" s="231"/>
      <c r="JTQ1" s="231"/>
      <c r="JTR1" s="231"/>
      <c r="JTS1" s="231"/>
      <c r="JTT1" s="231"/>
      <c r="JTU1" s="231"/>
      <c r="JTV1" s="231"/>
      <c r="JTW1" s="231"/>
      <c r="JTX1" s="231"/>
      <c r="JTY1" s="231"/>
      <c r="JTZ1" s="231"/>
      <c r="JUA1" s="231"/>
      <c r="JUB1" s="231"/>
      <c r="JUC1" s="231"/>
      <c r="JUD1" s="231"/>
      <c r="JUE1" s="231"/>
      <c r="JUF1" s="231"/>
      <c r="JUG1" s="231"/>
      <c r="JUH1" s="231"/>
      <c r="JUI1" s="231"/>
      <c r="JUJ1" s="231"/>
      <c r="JUK1" s="231"/>
      <c r="JUL1" s="231"/>
      <c r="JUM1" s="231"/>
      <c r="JUN1" s="231"/>
      <c r="JUO1" s="231"/>
      <c r="JUP1" s="231"/>
      <c r="JUQ1" s="231"/>
      <c r="JUR1" s="231"/>
      <c r="JUS1" s="231"/>
      <c r="JUT1" s="231"/>
      <c r="JUU1" s="231"/>
      <c r="JUV1" s="231"/>
      <c r="JUW1" s="231"/>
      <c r="JUX1" s="231"/>
      <c r="JUY1" s="231"/>
      <c r="JUZ1" s="231"/>
      <c r="JVA1" s="231"/>
      <c r="JVB1" s="231"/>
      <c r="JVC1" s="231"/>
      <c r="JVD1" s="231"/>
      <c r="JVE1" s="231"/>
      <c r="JVF1" s="231"/>
      <c r="JVG1" s="231"/>
      <c r="JVH1" s="231"/>
      <c r="JVI1" s="231"/>
      <c r="JVJ1" s="231"/>
      <c r="JVK1" s="231"/>
      <c r="JVL1" s="231"/>
      <c r="JVM1" s="231"/>
      <c r="JVN1" s="231"/>
      <c r="JVO1" s="231"/>
      <c r="JVP1" s="231"/>
      <c r="JVQ1" s="231"/>
      <c r="JVR1" s="231"/>
      <c r="JVS1" s="231"/>
      <c r="JVT1" s="231"/>
      <c r="JVU1" s="231"/>
      <c r="JVV1" s="231"/>
      <c r="JVW1" s="231"/>
      <c r="JVX1" s="231"/>
      <c r="JVY1" s="231"/>
      <c r="JVZ1" s="231"/>
      <c r="JWA1" s="231"/>
      <c r="JWB1" s="231"/>
      <c r="JWC1" s="231"/>
      <c r="JWD1" s="231"/>
      <c r="JWE1" s="231"/>
      <c r="JWF1" s="231"/>
      <c r="JWG1" s="231"/>
      <c r="JWH1" s="231"/>
      <c r="JWI1" s="231"/>
      <c r="JWJ1" s="231"/>
      <c r="JWK1" s="231"/>
      <c r="JWL1" s="231"/>
      <c r="JWM1" s="231"/>
      <c r="JWN1" s="231"/>
      <c r="JWO1" s="231"/>
      <c r="JWP1" s="231"/>
      <c r="JWQ1" s="231"/>
      <c r="JWR1" s="231"/>
      <c r="JWS1" s="231"/>
      <c r="JWT1" s="231"/>
      <c r="JWU1" s="231"/>
      <c r="JWV1" s="231"/>
      <c r="JWW1" s="231"/>
      <c r="JWX1" s="231"/>
      <c r="JWY1" s="231"/>
      <c r="JWZ1" s="231"/>
      <c r="JXA1" s="231"/>
      <c r="JXB1" s="231"/>
      <c r="JXC1" s="231"/>
      <c r="JXD1" s="231"/>
      <c r="JXE1" s="231"/>
      <c r="JXF1" s="231"/>
      <c r="JXG1" s="231"/>
      <c r="JXH1" s="231"/>
      <c r="JXI1" s="231"/>
      <c r="JXJ1" s="231"/>
      <c r="JXK1" s="231"/>
      <c r="JXL1" s="231"/>
      <c r="JXM1" s="231"/>
      <c r="JXN1" s="231"/>
      <c r="JXO1" s="231"/>
      <c r="JXP1" s="231"/>
      <c r="JXQ1" s="231"/>
      <c r="JXR1" s="231"/>
      <c r="JXS1" s="231"/>
      <c r="JXT1" s="231"/>
      <c r="JXU1" s="231"/>
      <c r="JXV1" s="231"/>
      <c r="JXW1" s="231"/>
      <c r="JXX1" s="231"/>
      <c r="JXY1" s="231"/>
      <c r="JXZ1" s="231"/>
      <c r="JYA1" s="231"/>
      <c r="JYB1" s="231"/>
      <c r="JYC1" s="231"/>
      <c r="JYD1" s="231"/>
      <c r="JYE1" s="231"/>
      <c r="JYF1" s="231"/>
      <c r="JYG1" s="231"/>
      <c r="JYH1" s="231"/>
      <c r="JYI1" s="231"/>
      <c r="JYJ1" s="231"/>
      <c r="JYK1" s="231"/>
      <c r="JYL1" s="231"/>
      <c r="JYM1" s="231"/>
      <c r="JYN1" s="231"/>
      <c r="JYO1" s="231"/>
      <c r="JYP1" s="231"/>
      <c r="JYQ1" s="231"/>
      <c r="JYR1" s="231"/>
      <c r="JYS1" s="231"/>
      <c r="JYT1" s="231"/>
      <c r="JYU1" s="231"/>
      <c r="JYV1" s="231"/>
      <c r="JYW1" s="231"/>
      <c r="JYX1" s="231"/>
      <c r="JYY1" s="231"/>
      <c r="JYZ1" s="231"/>
      <c r="JZA1" s="231"/>
      <c r="JZB1" s="231"/>
      <c r="JZC1" s="231"/>
      <c r="JZD1" s="231"/>
      <c r="JZE1" s="231"/>
      <c r="JZF1" s="231"/>
      <c r="JZG1" s="231"/>
      <c r="JZH1" s="231"/>
      <c r="JZI1" s="231"/>
      <c r="JZJ1" s="231"/>
      <c r="JZK1" s="231"/>
      <c r="JZL1" s="231"/>
      <c r="JZM1" s="231"/>
      <c r="JZN1" s="231"/>
      <c r="JZO1" s="231"/>
      <c r="JZP1" s="231"/>
      <c r="JZQ1" s="231"/>
      <c r="JZR1" s="231"/>
      <c r="JZS1" s="231"/>
      <c r="JZT1" s="231"/>
      <c r="JZU1" s="231"/>
      <c r="JZV1" s="231"/>
      <c r="JZW1" s="231"/>
      <c r="JZX1" s="231"/>
      <c r="JZY1" s="231"/>
      <c r="JZZ1" s="231"/>
      <c r="KAA1" s="231"/>
      <c r="KAB1" s="231"/>
      <c r="KAC1" s="231"/>
      <c r="KAD1" s="231"/>
      <c r="KAE1" s="231"/>
      <c r="KAF1" s="231"/>
      <c r="KAG1" s="231"/>
      <c r="KAH1" s="231"/>
      <c r="KAI1" s="231"/>
      <c r="KAJ1" s="231"/>
      <c r="KAK1" s="231"/>
      <c r="KAL1" s="231"/>
      <c r="KAM1" s="231"/>
      <c r="KAN1" s="231"/>
      <c r="KAO1" s="231"/>
      <c r="KAP1" s="231"/>
      <c r="KAQ1" s="231"/>
      <c r="KAR1" s="231"/>
      <c r="KAS1" s="231"/>
      <c r="KAT1" s="231"/>
      <c r="KAU1" s="231"/>
      <c r="KAV1" s="231"/>
      <c r="KAW1" s="231"/>
      <c r="KAX1" s="231"/>
      <c r="KAY1" s="231"/>
      <c r="KAZ1" s="231"/>
      <c r="KBA1" s="231"/>
      <c r="KBB1" s="231"/>
      <c r="KBC1" s="231"/>
      <c r="KBD1" s="231"/>
      <c r="KBE1" s="231"/>
      <c r="KBF1" s="231"/>
      <c r="KBG1" s="231"/>
      <c r="KBH1" s="231"/>
      <c r="KBI1" s="231"/>
      <c r="KBJ1" s="231"/>
      <c r="KBK1" s="231"/>
      <c r="KBL1" s="231"/>
      <c r="KBM1" s="231"/>
      <c r="KBN1" s="231"/>
      <c r="KBO1" s="231"/>
      <c r="KBP1" s="231"/>
      <c r="KBQ1" s="231"/>
      <c r="KBR1" s="231"/>
      <c r="KBS1" s="231"/>
      <c r="KBT1" s="231"/>
      <c r="KBU1" s="231"/>
      <c r="KBV1" s="231"/>
      <c r="KBW1" s="231"/>
      <c r="KBX1" s="231"/>
      <c r="KBY1" s="231"/>
      <c r="KBZ1" s="231"/>
      <c r="KCA1" s="231"/>
      <c r="KCB1" s="231"/>
      <c r="KCC1" s="231"/>
      <c r="KCD1" s="231"/>
      <c r="KCE1" s="231"/>
      <c r="KCF1" s="231"/>
      <c r="KCG1" s="231"/>
      <c r="KCH1" s="231"/>
      <c r="KCI1" s="231"/>
      <c r="KCJ1" s="231"/>
      <c r="KCK1" s="231"/>
      <c r="KCL1" s="231"/>
      <c r="KCM1" s="231"/>
      <c r="KCN1" s="231"/>
      <c r="KCO1" s="231"/>
      <c r="KCP1" s="231"/>
      <c r="KCQ1" s="231"/>
      <c r="KCR1" s="231"/>
      <c r="KCS1" s="231"/>
      <c r="KCT1" s="231"/>
      <c r="KCU1" s="231"/>
      <c r="KCV1" s="231"/>
      <c r="KCW1" s="231"/>
      <c r="KCX1" s="231"/>
      <c r="KCY1" s="231"/>
      <c r="KCZ1" s="231"/>
      <c r="KDA1" s="231"/>
      <c r="KDB1" s="231"/>
      <c r="KDC1" s="231"/>
      <c r="KDD1" s="231"/>
      <c r="KDE1" s="231"/>
      <c r="KDF1" s="231"/>
      <c r="KDG1" s="231"/>
      <c r="KDH1" s="231"/>
      <c r="KDI1" s="231"/>
      <c r="KDJ1" s="231"/>
      <c r="KDK1" s="231"/>
      <c r="KDL1" s="231"/>
      <c r="KDM1" s="231"/>
      <c r="KDN1" s="231"/>
      <c r="KDO1" s="231"/>
      <c r="KDP1" s="231"/>
      <c r="KDQ1" s="231"/>
      <c r="KDR1" s="231"/>
      <c r="KDS1" s="231"/>
      <c r="KDT1" s="231"/>
      <c r="KDU1" s="231"/>
      <c r="KDV1" s="231"/>
      <c r="KDW1" s="231"/>
      <c r="KDX1" s="231"/>
      <c r="KDY1" s="231"/>
      <c r="KDZ1" s="231"/>
      <c r="KEA1" s="231"/>
      <c r="KEB1" s="231"/>
      <c r="KEC1" s="231"/>
      <c r="KED1" s="231"/>
      <c r="KEE1" s="231"/>
      <c r="KEF1" s="231"/>
      <c r="KEG1" s="231"/>
      <c r="KEH1" s="231"/>
      <c r="KEI1" s="231"/>
      <c r="KEJ1" s="231"/>
      <c r="KEK1" s="231"/>
      <c r="KEL1" s="231"/>
      <c r="KEM1" s="231"/>
      <c r="KEN1" s="231"/>
      <c r="KEO1" s="231"/>
      <c r="KEP1" s="231"/>
      <c r="KEQ1" s="231"/>
      <c r="KER1" s="231"/>
      <c r="KES1" s="231"/>
      <c r="KET1" s="231"/>
      <c r="KEU1" s="231"/>
      <c r="KEV1" s="231"/>
      <c r="KEW1" s="231"/>
      <c r="KEX1" s="231"/>
      <c r="KEY1" s="231"/>
      <c r="KEZ1" s="231"/>
      <c r="KFA1" s="231"/>
      <c r="KFB1" s="231"/>
      <c r="KFC1" s="231"/>
      <c r="KFD1" s="231"/>
      <c r="KFE1" s="231"/>
      <c r="KFF1" s="231"/>
      <c r="KFG1" s="231"/>
      <c r="KFH1" s="231"/>
      <c r="KFI1" s="231"/>
      <c r="KFJ1" s="231"/>
      <c r="KFK1" s="231"/>
      <c r="KFL1" s="231"/>
      <c r="KFM1" s="231"/>
      <c r="KFN1" s="231"/>
      <c r="KFO1" s="231"/>
      <c r="KFP1" s="231"/>
      <c r="KFQ1" s="231"/>
      <c r="KFR1" s="231"/>
      <c r="KFS1" s="231"/>
      <c r="KFT1" s="231"/>
      <c r="KFU1" s="231"/>
      <c r="KFV1" s="231"/>
      <c r="KFW1" s="231"/>
      <c r="KFX1" s="231"/>
      <c r="KFY1" s="231"/>
      <c r="KFZ1" s="231"/>
      <c r="KGA1" s="231"/>
      <c r="KGB1" s="231"/>
      <c r="KGC1" s="231"/>
      <c r="KGD1" s="231"/>
      <c r="KGE1" s="231"/>
      <c r="KGF1" s="231"/>
      <c r="KGG1" s="231"/>
      <c r="KGH1" s="231"/>
      <c r="KGI1" s="231"/>
      <c r="KGJ1" s="231"/>
      <c r="KGK1" s="231"/>
      <c r="KGL1" s="231"/>
      <c r="KGM1" s="231"/>
      <c r="KGN1" s="231"/>
      <c r="KGO1" s="231"/>
      <c r="KGP1" s="231"/>
      <c r="KGQ1" s="231"/>
      <c r="KGR1" s="231"/>
      <c r="KGS1" s="231"/>
      <c r="KGT1" s="231"/>
      <c r="KGU1" s="231"/>
      <c r="KGV1" s="231"/>
      <c r="KGW1" s="231"/>
      <c r="KGX1" s="231"/>
      <c r="KGY1" s="231"/>
      <c r="KGZ1" s="231"/>
      <c r="KHA1" s="231"/>
      <c r="KHB1" s="231"/>
      <c r="KHC1" s="231"/>
      <c r="KHD1" s="231"/>
      <c r="KHE1" s="231"/>
      <c r="KHF1" s="231"/>
      <c r="KHG1" s="231"/>
      <c r="KHH1" s="231"/>
      <c r="KHI1" s="231"/>
      <c r="KHJ1" s="231"/>
      <c r="KHK1" s="231"/>
      <c r="KHL1" s="231"/>
      <c r="KHM1" s="231"/>
      <c r="KHN1" s="231"/>
      <c r="KHO1" s="231"/>
      <c r="KHP1" s="231"/>
      <c r="KHQ1" s="231"/>
      <c r="KHR1" s="231"/>
      <c r="KHS1" s="231"/>
      <c r="KHT1" s="231"/>
      <c r="KHU1" s="231"/>
      <c r="KHV1" s="231"/>
      <c r="KHW1" s="231"/>
      <c r="KHX1" s="231"/>
      <c r="KHY1" s="231"/>
      <c r="KHZ1" s="231"/>
      <c r="KIA1" s="231"/>
      <c r="KIB1" s="231"/>
      <c r="KIC1" s="231"/>
      <c r="KID1" s="231"/>
      <c r="KIE1" s="231"/>
      <c r="KIF1" s="231"/>
      <c r="KIG1" s="231"/>
      <c r="KIH1" s="231"/>
      <c r="KII1" s="231"/>
      <c r="KIJ1" s="231"/>
      <c r="KIK1" s="231"/>
      <c r="KIL1" s="231"/>
      <c r="KIM1" s="231"/>
      <c r="KIN1" s="231"/>
      <c r="KIO1" s="231"/>
      <c r="KIP1" s="231"/>
      <c r="KIQ1" s="231"/>
      <c r="KIR1" s="231"/>
      <c r="KIS1" s="231"/>
      <c r="KIT1" s="231"/>
      <c r="KIU1" s="231"/>
      <c r="KIV1" s="231"/>
      <c r="KIW1" s="231"/>
      <c r="KIX1" s="231"/>
      <c r="KIY1" s="231"/>
      <c r="KIZ1" s="231"/>
      <c r="KJA1" s="231"/>
      <c r="KJB1" s="231"/>
      <c r="KJC1" s="231"/>
      <c r="KJD1" s="231"/>
      <c r="KJE1" s="231"/>
      <c r="KJF1" s="231"/>
      <c r="KJG1" s="231"/>
      <c r="KJH1" s="231"/>
      <c r="KJI1" s="231"/>
      <c r="KJJ1" s="231"/>
      <c r="KJK1" s="231"/>
      <c r="KJL1" s="231"/>
      <c r="KJM1" s="231"/>
      <c r="KJN1" s="231"/>
      <c r="KJO1" s="231"/>
      <c r="KJP1" s="231"/>
      <c r="KJQ1" s="231"/>
      <c r="KJR1" s="231"/>
      <c r="KJS1" s="231"/>
      <c r="KJT1" s="231"/>
      <c r="KJU1" s="231"/>
      <c r="KJV1" s="231"/>
      <c r="KJW1" s="231"/>
      <c r="KJX1" s="231"/>
      <c r="KJY1" s="231"/>
      <c r="KJZ1" s="231"/>
      <c r="KKA1" s="231"/>
      <c r="KKB1" s="231"/>
      <c r="KKC1" s="231"/>
      <c r="KKD1" s="231"/>
      <c r="KKE1" s="231"/>
      <c r="KKF1" s="231"/>
      <c r="KKG1" s="231"/>
      <c r="KKH1" s="231"/>
      <c r="KKI1" s="231"/>
      <c r="KKJ1" s="231"/>
      <c r="KKK1" s="231"/>
      <c r="KKL1" s="231"/>
      <c r="KKM1" s="231"/>
      <c r="KKN1" s="231"/>
      <c r="KKO1" s="231"/>
      <c r="KKP1" s="231"/>
      <c r="KKQ1" s="231"/>
      <c r="KKR1" s="231"/>
      <c r="KKS1" s="231"/>
      <c r="KKT1" s="231"/>
      <c r="KKU1" s="231"/>
      <c r="KKV1" s="231"/>
      <c r="KKW1" s="231"/>
      <c r="KKX1" s="231"/>
      <c r="KKY1" s="231"/>
      <c r="KKZ1" s="231"/>
      <c r="KLA1" s="231"/>
      <c r="KLB1" s="231"/>
      <c r="KLC1" s="231"/>
      <c r="KLD1" s="231"/>
      <c r="KLE1" s="231"/>
      <c r="KLF1" s="231"/>
      <c r="KLG1" s="231"/>
      <c r="KLH1" s="231"/>
      <c r="KLI1" s="231"/>
      <c r="KLJ1" s="231"/>
      <c r="KLK1" s="231"/>
      <c r="KLL1" s="231"/>
      <c r="KLM1" s="231"/>
      <c r="KLN1" s="231"/>
      <c r="KLO1" s="231"/>
      <c r="KLP1" s="231"/>
      <c r="KLQ1" s="231"/>
      <c r="KLR1" s="231"/>
      <c r="KLS1" s="231"/>
      <c r="KLT1" s="231"/>
      <c r="KLU1" s="231"/>
      <c r="KLV1" s="231"/>
      <c r="KLW1" s="231"/>
      <c r="KLX1" s="231"/>
      <c r="KLY1" s="231"/>
      <c r="KLZ1" s="231"/>
      <c r="KMA1" s="231"/>
      <c r="KMB1" s="231"/>
      <c r="KMC1" s="231"/>
      <c r="KMD1" s="231"/>
      <c r="KME1" s="231"/>
      <c r="KMF1" s="231"/>
      <c r="KMG1" s="231"/>
      <c r="KMH1" s="231"/>
      <c r="KMI1" s="231"/>
      <c r="KMJ1" s="231"/>
      <c r="KMK1" s="231"/>
      <c r="KML1" s="231"/>
      <c r="KMM1" s="231"/>
      <c r="KMN1" s="231"/>
      <c r="KMO1" s="231"/>
      <c r="KMP1" s="231"/>
      <c r="KMQ1" s="231"/>
      <c r="KMR1" s="231"/>
      <c r="KMS1" s="231"/>
      <c r="KMT1" s="231"/>
      <c r="KMU1" s="231"/>
      <c r="KMV1" s="231"/>
      <c r="KMW1" s="231"/>
      <c r="KMX1" s="231"/>
      <c r="KMY1" s="231"/>
      <c r="KMZ1" s="231"/>
      <c r="KNA1" s="231"/>
      <c r="KNB1" s="231"/>
      <c r="KNC1" s="231"/>
      <c r="KND1" s="231"/>
      <c r="KNE1" s="231"/>
      <c r="KNF1" s="231"/>
      <c r="KNG1" s="231"/>
      <c r="KNH1" s="231"/>
      <c r="KNI1" s="231"/>
      <c r="KNJ1" s="231"/>
      <c r="KNK1" s="231"/>
      <c r="KNL1" s="231"/>
      <c r="KNM1" s="231"/>
      <c r="KNN1" s="231"/>
      <c r="KNO1" s="231"/>
      <c r="KNP1" s="231"/>
      <c r="KNQ1" s="231"/>
      <c r="KNR1" s="231"/>
      <c r="KNS1" s="231"/>
      <c r="KNT1" s="231"/>
      <c r="KNU1" s="231"/>
      <c r="KNV1" s="231"/>
      <c r="KNW1" s="231"/>
      <c r="KNX1" s="231"/>
      <c r="KNY1" s="231"/>
      <c r="KNZ1" s="231"/>
      <c r="KOA1" s="231"/>
      <c r="KOB1" s="231"/>
      <c r="KOC1" s="231"/>
      <c r="KOD1" s="231"/>
      <c r="KOE1" s="231"/>
      <c r="KOF1" s="231"/>
      <c r="KOG1" s="231"/>
      <c r="KOH1" s="231"/>
      <c r="KOI1" s="231"/>
      <c r="KOJ1" s="231"/>
      <c r="KOK1" s="231"/>
      <c r="KOL1" s="231"/>
      <c r="KOM1" s="231"/>
      <c r="KON1" s="231"/>
      <c r="KOO1" s="231"/>
      <c r="KOP1" s="231"/>
      <c r="KOQ1" s="231"/>
      <c r="KOR1" s="231"/>
      <c r="KOS1" s="231"/>
      <c r="KOT1" s="231"/>
      <c r="KOU1" s="231"/>
      <c r="KOV1" s="231"/>
      <c r="KOW1" s="231"/>
      <c r="KOX1" s="231"/>
      <c r="KOY1" s="231"/>
      <c r="KOZ1" s="231"/>
      <c r="KPA1" s="231"/>
      <c r="KPB1" s="231"/>
      <c r="KPC1" s="231"/>
      <c r="KPD1" s="231"/>
      <c r="KPE1" s="231"/>
      <c r="KPF1" s="231"/>
      <c r="KPG1" s="231"/>
      <c r="KPH1" s="231"/>
      <c r="KPI1" s="231"/>
      <c r="KPJ1" s="231"/>
      <c r="KPK1" s="231"/>
      <c r="KPL1" s="231"/>
      <c r="KPM1" s="231"/>
      <c r="KPN1" s="231"/>
      <c r="KPO1" s="231"/>
      <c r="KPP1" s="231"/>
      <c r="KPQ1" s="231"/>
      <c r="KPR1" s="231"/>
      <c r="KPS1" s="231"/>
      <c r="KPT1" s="231"/>
      <c r="KPU1" s="231"/>
      <c r="KPV1" s="231"/>
      <c r="KPW1" s="231"/>
      <c r="KPX1" s="231"/>
      <c r="KPY1" s="231"/>
      <c r="KPZ1" s="231"/>
      <c r="KQA1" s="231"/>
      <c r="KQB1" s="231"/>
      <c r="KQC1" s="231"/>
      <c r="KQD1" s="231"/>
      <c r="KQE1" s="231"/>
      <c r="KQF1" s="231"/>
      <c r="KQG1" s="231"/>
      <c r="KQH1" s="231"/>
      <c r="KQI1" s="231"/>
      <c r="KQJ1" s="231"/>
      <c r="KQK1" s="231"/>
      <c r="KQL1" s="231"/>
      <c r="KQM1" s="231"/>
      <c r="KQN1" s="231"/>
      <c r="KQO1" s="231"/>
      <c r="KQP1" s="231"/>
      <c r="KQQ1" s="231"/>
      <c r="KQR1" s="231"/>
      <c r="KQS1" s="231"/>
      <c r="KQT1" s="231"/>
      <c r="KQU1" s="231"/>
      <c r="KQV1" s="231"/>
      <c r="KQW1" s="231"/>
      <c r="KQX1" s="231"/>
      <c r="KQY1" s="231"/>
      <c r="KQZ1" s="231"/>
      <c r="KRA1" s="231"/>
      <c r="KRB1" s="231"/>
      <c r="KRC1" s="231"/>
      <c r="KRD1" s="231"/>
      <c r="KRE1" s="231"/>
      <c r="KRF1" s="231"/>
      <c r="KRG1" s="231"/>
      <c r="KRH1" s="231"/>
      <c r="KRI1" s="231"/>
      <c r="KRJ1" s="231"/>
      <c r="KRK1" s="231"/>
      <c r="KRL1" s="231"/>
      <c r="KRM1" s="231"/>
      <c r="KRN1" s="231"/>
      <c r="KRO1" s="231"/>
      <c r="KRP1" s="231"/>
      <c r="KRQ1" s="231"/>
      <c r="KRR1" s="231"/>
      <c r="KRS1" s="231"/>
      <c r="KRT1" s="231"/>
      <c r="KRU1" s="231"/>
      <c r="KRV1" s="231"/>
      <c r="KRW1" s="231"/>
      <c r="KRX1" s="231"/>
      <c r="KRY1" s="231"/>
      <c r="KRZ1" s="231"/>
      <c r="KSA1" s="231"/>
      <c r="KSB1" s="231"/>
      <c r="KSC1" s="231"/>
      <c r="KSD1" s="231"/>
      <c r="KSE1" s="231"/>
      <c r="KSF1" s="231"/>
      <c r="KSG1" s="231"/>
      <c r="KSH1" s="231"/>
      <c r="KSI1" s="231"/>
      <c r="KSJ1" s="231"/>
      <c r="KSK1" s="231"/>
      <c r="KSL1" s="231"/>
      <c r="KSM1" s="231"/>
      <c r="KSN1" s="231"/>
      <c r="KSO1" s="231"/>
      <c r="KSP1" s="231"/>
      <c r="KSQ1" s="231"/>
      <c r="KSR1" s="231"/>
      <c r="KSS1" s="231"/>
      <c r="KST1" s="231"/>
      <c r="KSU1" s="231"/>
      <c r="KSV1" s="231"/>
      <c r="KSW1" s="231"/>
      <c r="KSX1" s="231"/>
      <c r="KSY1" s="231"/>
      <c r="KSZ1" s="231"/>
      <c r="KTA1" s="231"/>
      <c r="KTB1" s="231"/>
      <c r="KTC1" s="231"/>
      <c r="KTD1" s="231"/>
      <c r="KTE1" s="231"/>
      <c r="KTF1" s="231"/>
      <c r="KTG1" s="231"/>
      <c r="KTH1" s="231"/>
      <c r="KTI1" s="231"/>
      <c r="KTJ1" s="231"/>
      <c r="KTK1" s="231"/>
      <c r="KTL1" s="231"/>
      <c r="KTM1" s="231"/>
      <c r="KTN1" s="231"/>
      <c r="KTO1" s="231"/>
      <c r="KTP1" s="231"/>
      <c r="KTQ1" s="231"/>
      <c r="KTR1" s="231"/>
      <c r="KTS1" s="231"/>
      <c r="KTT1" s="231"/>
      <c r="KTU1" s="231"/>
      <c r="KTV1" s="231"/>
      <c r="KTW1" s="231"/>
      <c r="KTX1" s="231"/>
      <c r="KTY1" s="231"/>
      <c r="KTZ1" s="231"/>
      <c r="KUA1" s="231"/>
      <c r="KUB1" s="231"/>
      <c r="KUC1" s="231"/>
      <c r="KUD1" s="231"/>
      <c r="KUE1" s="231"/>
      <c r="KUF1" s="231"/>
      <c r="KUG1" s="231"/>
      <c r="KUH1" s="231"/>
      <c r="KUI1" s="231"/>
      <c r="KUJ1" s="231"/>
      <c r="KUK1" s="231"/>
      <c r="KUL1" s="231"/>
      <c r="KUM1" s="231"/>
      <c r="KUN1" s="231"/>
      <c r="KUO1" s="231"/>
      <c r="KUP1" s="231"/>
      <c r="KUQ1" s="231"/>
      <c r="KUR1" s="231"/>
      <c r="KUS1" s="231"/>
      <c r="KUT1" s="231"/>
      <c r="KUU1" s="231"/>
      <c r="KUV1" s="231"/>
      <c r="KUW1" s="231"/>
      <c r="KUX1" s="231"/>
      <c r="KUY1" s="231"/>
      <c r="KUZ1" s="231"/>
      <c r="KVA1" s="231"/>
      <c r="KVB1" s="231"/>
      <c r="KVC1" s="231"/>
      <c r="KVD1" s="231"/>
      <c r="KVE1" s="231"/>
      <c r="KVF1" s="231"/>
      <c r="KVG1" s="231"/>
      <c r="KVH1" s="231"/>
      <c r="KVI1" s="231"/>
      <c r="KVJ1" s="231"/>
      <c r="KVK1" s="231"/>
      <c r="KVL1" s="231"/>
      <c r="KVM1" s="231"/>
      <c r="KVN1" s="231"/>
      <c r="KVO1" s="231"/>
      <c r="KVP1" s="231"/>
      <c r="KVQ1" s="231"/>
      <c r="KVR1" s="231"/>
      <c r="KVS1" s="231"/>
      <c r="KVT1" s="231"/>
      <c r="KVU1" s="231"/>
      <c r="KVV1" s="231"/>
      <c r="KVW1" s="231"/>
      <c r="KVX1" s="231"/>
      <c r="KVY1" s="231"/>
      <c r="KVZ1" s="231"/>
      <c r="KWA1" s="231"/>
      <c r="KWB1" s="231"/>
      <c r="KWC1" s="231"/>
      <c r="KWD1" s="231"/>
      <c r="KWE1" s="231"/>
      <c r="KWF1" s="231"/>
      <c r="KWG1" s="231"/>
      <c r="KWH1" s="231"/>
      <c r="KWI1" s="231"/>
      <c r="KWJ1" s="231"/>
      <c r="KWK1" s="231"/>
      <c r="KWL1" s="231"/>
      <c r="KWM1" s="231"/>
      <c r="KWN1" s="231"/>
      <c r="KWO1" s="231"/>
      <c r="KWP1" s="231"/>
      <c r="KWQ1" s="231"/>
      <c r="KWR1" s="231"/>
      <c r="KWS1" s="231"/>
      <c r="KWT1" s="231"/>
      <c r="KWU1" s="231"/>
      <c r="KWV1" s="231"/>
      <c r="KWW1" s="231"/>
      <c r="KWX1" s="231"/>
      <c r="KWY1" s="231"/>
      <c r="KWZ1" s="231"/>
      <c r="KXA1" s="231"/>
      <c r="KXB1" s="231"/>
      <c r="KXC1" s="231"/>
      <c r="KXD1" s="231"/>
      <c r="KXE1" s="231"/>
      <c r="KXF1" s="231"/>
      <c r="KXG1" s="231"/>
      <c r="KXH1" s="231"/>
      <c r="KXI1" s="231"/>
      <c r="KXJ1" s="231"/>
      <c r="KXK1" s="231"/>
      <c r="KXL1" s="231"/>
      <c r="KXM1" s="231"/>
      <c r="KXN1" s="231"/>
      <c r="KXO1" s="231"/>
      <c r="KXP1" s="231"/>
      <c r="KXQ1" s="231"/>
      <c r="KXR1" s="231"/>
      <c r="KXS1" s="231"/>
      <c r="KXT1" s="231"/>
      <c r="KXU1" s="231"/>
      <c r="KXV1" s="231"/>
      <c r="KXW1" s="231"/>
      <c r="KXX1" s="231"/>
      <c r="KXY1" s="231"/>
      <c r="KXZ1" s="231"/>
      <c r="KYA1" s="231"/>
      <c r="KYB1" s="231"/>
      <c r="KYC1" s="231"/>
      <c r="KYD1" s="231"/>
      <c r="KYE1" s="231"/>
      <c r="KYF1" s="231"/>
      <c r="KYG1" s="231"/>
      <c r="KYH1" s="231"/>
      <c r="KYI1" s="231"/>
      <c r="KYJ1" s="231"/>
      <c r="KYK1" s="231"/>
      <c r="KYL1" s="231"/>
      <c r="KYM1" s="231"/>
      <c r="KYN1" s="231"/>
      <c r="KYO1" s="231"/>
      <c r="KYP1" s="231"/>
      <c r="KYQ1" s="231"/>
      <c r="KYR1" s="231"/>
      <c r="KYS1" s="231"/>
      <c r="KYT1" s="231"/>
      <c r="KYU1" s="231"/>
      <c r="KYV1" s="231"/>
      <c r="KYW1" s="231"/>
      <c r="KYX1" s="231"/>
      <c r="KYY1" s="231"/>
      <c r="KYZ1" s="231"/>
      <c r="KZA1" s="231"/>
      <c r="KZB1" s="231"/>
      <c r="KZC1" s="231"/>
      <c r="KZD1" s="231"/>
      <c r="KZE1" s="231"/>
      <c r="KZF1" s="231"/>
      <c r="KZG1" s="231"/>
      <c r="KZH1" s="231"/>
      <c r="KZI1" s="231"/>
      <c r="KZJ1" s="231"/>
      <c r="KZK1" s="231"/>
      <c r="KZL1" s="231"/>
      <c r="KZM1" s="231"/>
      <c r="KZN1" s="231"/>
      <c r="KZO1" s="231"/>
      <c r="KZP1" s="231"/>
      <c r="KZQ1" s="231"/>
      <c r="KZR1" s="231"/>
      <c r="KZS1" s="231"/>
      <c r="KZT1" s="231"/>
      <c r="KZU1" s="231"/>
      <c r="KZV1" s="231"/>
      <c r="KZW1" s="231"/>
      <c r="KZX1" s="231"/>
      <c r="KZY1" s="231"/>
      <c r="KZZ1" s="231"/>
      <c r="LAA1" s="231"/>
      <c r="LAB1" s="231"/>
      <c r="LAC1" s="231"/>
      <c r="LAD1" s="231"/>
      <c r="LAE1" s="231"/>
      <c r="LAF1" s="231"/>
      <c r="LAG1" s="231"/>
      <c r="LAH1" s="231"/>
      <c r="LAI1" s="231"/>
      <c r="LAJ1" s="231"/>
      <c r="LAK1" s="231"/>
      <c r="LAL1" s="231"/>
      <c r="LAM1" s="231"/>
      <c r="LAN1" s="231"/>
      <c r="LAO1" s="231"/>
      <c r="LAP1" s="231"/>
      <c r="LAQ1" s="231"/>
      <c r="LAR1" s="231"/>
      <c r="LAS1" s="231"/>
      <c r="LAT1" s="231"/>
      <c r="LAU1" s="231"/>
      <c r="LAV1" s="231"/>
      <c r="LAW1" s="231"/>
      <c r="LAX1" s="231"/>
      <c r="LAY1" s="231"/>
      <c r="LAZ1" s="231"/>
      <c r="LBA1" s="231"/>
      <c r="LBB1" s="231"/>
      <c r="LBC1" s="231"/>
      <c r="LBD1" s="231"/>
      <c r="LBE1" s="231"/>
      <c r="LBF1" s="231"/>
      <c r="LBG1" s="231"/>
      <c r="LBH1" s="231"/>
      <c r="LBI1" s="231"/>
      <c r="LBJ1" s="231"/>
      <c r="LBK1" s="231"/>
      <c r="LBL1" s="231"/>
      <c r="LBM1" s="231"/>
      <c r="LBN1" s="231"/>
      <c r="LBO1" s="231"/>
      <c r="LBP1" s="231"/>
      <c r="LBQ1" s="231"/>
      <c r="LBR1" s="231"/>
      <c r="LBS1" s="231"/>
      <c r="LBT1" s="231"/>
      <c r="LBU1" s="231"/>
      <c r="LBV1" s="231"/>
      <c r="LBW1" s="231"/>
      <c r="LBX1" s="231"/>
      <c r="LBY1" s="231"/>
      <c r="LBZ1" s="231"/>
      <c r="LCA1" s="231"/>
      <c r="LCB1" s="231"/>
      <c r="LCC1" s="231"/>
      <c r="LCD1" s="231"/>
      <c r="LCE1" s="231"/>
      <c r="LCF1" s="231"/>
      <c r="LCG1" s="231"/>
      <c r="LCH1" s="231"/>
      <c r="LCI1" s="231"/>
      <c r="LCJ1" s="231"/>
      <c r="LCK1" s="231"/>
      <c r="LCL1" s="231"/>
      <c r="LCM1" s="231"/>
      <c r="LCN1" s="231"/>
      <c r="LCO1" s="231"/>
      <c r="LCP1" s="231"/>
      <c r="LCQ1" s="231"/>
      <c r="LCR1" s="231"/>
      <c r="LCS1" s="231"/>
      <c r="LCT1" s="231"/>
      <c r="LCU1" s="231"/>
      <c r="LCV1" s="231"/>
      <c r="LCW1" s="231"/>
      <c r="LCX1" s="231"/>
      <c r="LCY1" s="231"/>
      <c r="LCZ1" s="231"/>
      <c r="LDA1" s="231"/>
      <c r="LDB1" s="231"/>
      <c r="LDC1" s="231"/>
      <c r="LDD1" s="231"/>
      <c r="LDE1" s="231"/>
      <c r="LDF1" s="231"/>
      <c r="LDG1" s="231"/>
      <c r="LDH1" s="231"/>
      <c r="LDI1" s="231"/>
      <c r="LDJ1" s="231"/>
      <c r="LDK1" s="231"/>
      <c r="LDL1" s="231"/>
      <c r="LDM1" s="231"/>
      <c r="LDN1" s="231"/>
      <c r="LDO1" s="231"/>
      <c r="LDP1" s="231"/>
      <c r="LDQ1" s="231"/>
      <c r="LDR1" s="231"/>
      <c r="LDS1" s="231"/>
      <c r="LDT1" s="231"/>
      <c r="LDU1" s="231"/>
      <c r="LDV1" s="231"/>
      <c r="LDW1" s="231"/>
      <c r="LDX1" s="231"/>
      <c r="LDY1" s="231"/>
      <c r="LDZ1" s="231"/>
      <c r="LEA1" s="231"/>
      <c r="LEB1" s="231"/>
      <c r="LEC1" s="231"/>
      <c r="LED1" s="231"/>
      <c r="LEE1" s="231"/>
      <c r="LEF1" s="231"/>
      <c r="LEG1" s="231"/>
      <c r="LEH1" s="231"/>
      <c r="LEI1" s="231"/>
      <c r="LEJ1" s="231"/>
      <c r="LEK1" s="231"/>
      <c r="LEL1" s="231"/>
      <c r="LEM1" s="231"/>
      <c r="LEN1" s="231"/>
      <c r="LEO1" s="231"/>
      <c r="LEP1" s="231"/>
      <c r="LEQ1" s="231"/>
      <c r="LER1" s="231"/>
      <c r="LES1" s="231"/>
      <c r="LET1" s="231"/>
      <c r="LEU1" s="231"/>
      <c r="LEV1" s="231"/>
      <c r="LEW1" s="231"/>
      <c r="LEX1" s="231"/>
      <c r="LEY1" s="231"/>
      <c r="LEZ1" s="231"/>
      <c r="LFA1" s="231"/>
      <c r="LFB1" s="231"/>
      <c r="LFC1" s="231"/>
      <c r="LFD1" s="231"/>
      <c r="LFE1" s="231"/>
      <c r="LFF1" s="231"/>
      <c r="LFG1" s="231"/>
      <c r="LFH1" s="231"/>
      <c r="LFI1" s="231"/>
      <c r="LFJ1" s="231"/>
      <c r="LFK1" s="231"/>
      <c r="LFL1" s="231"/>
      <c r="LFM1" s="231"/>
      <c r="LFN1" s="231"/>
      <c r="LFO1" s="231"/>
      <c r="LFP1" s="231"/>
      <c r="LFQ1" s="231"/>
      <c r="LFR1" s="231"/>
      <c r="LFS1" s="231"/>
      <c r="LFT1" s="231"/>
      <c r="LFU1" s="231"/>
      <c r="LFV1" s="231"/>
      <c r="LFW1" s="231"/>
      <c r="LFX1" s="231"/>
      <c r="LFY1" s="231"/>
      <c r="LFZ1" s="231"/>
      <c r="LGA1" s="231"/>
      <c r="LGB1" s="231"/>
      <c r="LGC1" s="231"/>
      <c r="LGD1" s="231"/>
      <c r="LGE1" s="231"/>
      <c r="LGF1" s="231"/>
      <c r="LGG1" s="231"/>
      <c r="LGH1" s="231"/>
      <c r="LGI1" s="231"/>
      <c r="LGJ1" s="231"/>
      <c r="LGK1" s="231"/>
      <c r="LGL1" s="231"/>
      <c r="LGM1" s="231"/>
      <c r="LGN1" s="231"/>
      <c r="LGO1" s="231"/>
      <c r="LGP1" s="231"/>
      <c r="LGQ1" s="231"/>
      <c r="LGR1" s="231"/>
      <c r="LGS1" s="231"/>
      <c r="LGT1" s="231"/>
      <c r="LGU1" s="231"/>
      <c r="LGV1" s="231"/>
      <c r="LGW1" s="231"/>
      <c r="LGX1" s="231"/>
      <c r="LGY1" s="231"/>
      <c r="LGZ1" s="231"/>
      <c r="LHA1" s="231"/>
      <c r="LHB1" s="231"/>
      <c r="LHC1" s="231"/>
      <c r="LHD1" s="231"/>
      <c r="LHE1" s="231"/>
      <c r="LHF1" s="231"/>
      <c r="LHG1" s="231"/>
      <c r="LHH1" s="231"/>
      <c r="LHI1" s="231"/>
      <c r="LHJ1" s="231"/>
      <c r="LHK1" s="231"/>
      <c r="LHL1" s="231"/>
      <c r="LHM1" s="231"/>
      <c r="LHN1" s="231"/>
      <c r="LHO1" s="231"/>
      <c r="LHP1" s="231"/>
      <c r="LHQ1" s="231"/>
      <c r="LHR1" s="231"/>
      <c r="LHS1" s="231"/>
      <c r="LHT1" s="231"/>
      <c r="LHU1" s="231"/>
      <c r="LHV1" s="231"/>
      <c r="LHW1" s="231"/>
      <c r="LHX1" s="231"/>
      <c r="LHY1" s="231"/>
      <c r="LHZ1" s="231"/>
      <c r="LIA1" s="231"/>
      <c r="LIB1" s="231"/>
      <c r="LIC1" s="231"/>
      <c r="LID1" s="231"/>
      <c r="LIE1" s="231"/>
      <c r="LIF1" s="231"/>
      <c r="LIG1" s="231"/>
      <c r="LIH1" s="231"/>
      <c r="LII1" s="231"/>
      <c r="LIJ1" s="231"/>
      <c r="LIK1" s="231"/>
      <c r="LIL1" s="231"/>
      <c r="LIM1" s="231"/>
      <c r="LIN1" s="231"/>
      <c r="LIO1" s="231"/>
      <c r="LIP1" s="231"/>
      <c r="LIQ1" s="231"/>
      <c r="LIR1" s="231"/>
      <c r="LIS1" s="231"/>
      <c r="LIT1" s="231"/>
      <c r="LIU1" s="231"/>
      <c r="LIV1" s="231"/>
      <c r="LIW1" s="231"/>
      <c r="LIX1" s="231"/>
      <c r="LIY1" s="231"/>
      <c r="LIZ1" s="231"/>
      <c r="LJA1" s="231"/>
      <c r="LJB1" s="231"/>
      <c r="LJC1" s="231"/>
      <c r="LJD1" s="231"/>
      <c r="LJE1" s="231"/>
      <c r="LJF1" s="231"/>
      <c r="LJG1" s="231"/>
      <c r="LJH1" s="231"/>
      <c r="LJI1" s="231"/>
      <c r="LJJ1" s="231"/>
      <c r="LJK1" s="231"/>
      <c r="LJL1" s="231"/>
      <c r="LJM1" s="231"/>
      <c r="LJN1" s="231"/>
      <c r="LJO1" s="231"/>
      <c r="LJP1" s="231"/>
      <c r="LJQ1" s="231"/>
      <c r="LJR1" s="231"/>
      <c r="LJS1" s="231"/>
      <c r="LJT1" s="231"/>
      <c r="LJU1" s="231"/>
      <c r="LJV1" s="231"/>
      <c r="LJW1" s="231"/>
      <c r="LJX1" s="231"/>
      <c r="LJY1" s="231"/>
      <c r="LJZ1" s="231"/>
      <c r="LKA1" s="231"/>
      <c r="LKB1" s="231"/>
      <c r="LKC1" s="231"/>
      <c r="LKD1" s="231"/>
      <c r="LKE1" s="231"/>
      <c r="LKF1" s="231"/>
      <c r="LKG1" s="231"/>
      <c r="LKH1" s="231"/>
      <c r="LKI1" s="231"/>
      <c r="LKJ1" s="231"/>
      <c r="LKK1" s="231"/>
      <c r="LKL1" s="231"/>
      <c r="LKM1" s="231"/>
      <c r="LKN1" s="231"/>
      <c r="LKO1" s="231"/>
      <c r="LKP1" s="231"/>
      <c r="LKQ1" s="231"/>
      <c r="LKR1" s="231"/>
      <c r="LKS1" s="231"/>
      <c r="LKT1" s="231"/>
      <c r="LKU1" s="231"/>
      <c r="LKV1" s="231"/>
      <c r="LKW1" s="231"/>
      <c r="LKX1" s="231"/>
      <c r="LKY1" s="231"/>
      <c r="LKZ1" s="231"/>
      <c r="LLA1" s="231"/>
      <c r="LLB1" s="231"/>
      <c r="LLC1" s="231"/>
      <c r="LLD1" s="231"/>
      <c r="LLE1" s="231"/>
      <c r="LLF1" s="231"/>
      <c r="LLG1" s="231"/>
      <c r="LLH1" s="231"/>
      <c r="LLI1" s="231"/>
      <c r="LLJ1" s="231"/>
      <c r="LLK1" s="231"/>
      <c r="LLL1" s="231"/>
      <c r="LLM1" s="231"/>
      <c r="LLN1" s="231"/>
      <c r="LLO1" s="231"/>
      <c r="LLP1" s="231"/>
      <c r="LLQ1" s="231"/>
      <c r="LLR1" s="231"/>
      <c r="LLS1" s="231"/>
      <c r="LLT1" s="231"/>
      <c r="LLU1" s="231"/>
      <c r="LLV1" s="231"/>
      <c r="LLW1" s="231"/>
      <c r="LLX1" s="231"/>
      <c r="LLY1" s="231"/>
      <c r="LLZ1" s="231"/>
      <c r="LMA1" s="231"/>
      <c r="LMB1" s="231"/>
      <c r="LMC1" s="231"/>
      <c r="LMD1" s="231"/>
      <c r="LME1" s="231"/>
      <c r="LMF1" s="231"/>
      <c r="LMG1" s="231"/>
      <c r="LMH1" s="231"/>
      <c r="LMI1" s="231"/>
      <c r="LMJ1" s="231"/>
      <c r="LMK1" s="231"/>
      <c r="LML1" s="231"/>
      <c r="LMM1" s="231"/>
      <c r="LMN1" s="231"/>
      <c r="LMO1" s="231"/>
      <c r="LMP1" s="231"/>
      <c r="LMQ1" s="231"/>
      <c r="LMR1" s="231"/>
      <c r="LMS1" s="231"/>
      <c r="LMT1" s="231"/>
      <c r="LMU1" s="231"/>
      <c r="LMV1" s="231"/>
      <c r="LMW1" s="231"/>
      <c r="LMX1" s="231"/>
      <c r="LMY1" s="231"/>
      <c r="LMZ1" s="231"/>
      <c r="LNA1" s="231"/>
      <c r="LNB1" s="231"/>
      <c r="LNC1" s="231"/>
      <c r="LND1" s="231"/>
      <c r="LNE1" s="231"/>
      <c r="LNF1" s="231"/>
      <c r="LNG1" s="231"/>
      <c r="LNH1" s="231"/>
      <c r="LNI1" s="231"/>
      <c r="LNJ1" s="231"/>
      <c r="LNK1" s="231"/>
      <c r="LNL1" s="231"/>
      <c r="LNM1" s="231"/>
      <c r="LNN1" s="231"/>
      <c r="LNO1" s="231"/>
      <c r="LNP1" s="231"/>
      <c r="LNQ1" s="231"/>
      <c r="LNR1" s="231"/>
      <c r="LNS1" s="231"/>
      <c r="LNT1" s="231"/>
      <c r="LNU1" s="231"/>
      <c r="LNV1" s="231"/>
      <c r="LNW1" s="231"/>
      <c r="LNX1" s="231"/>
      <c r="LNY1" s="231"/>
      <c r="LNZ1" s="231"/>
      <c r="LOA1" s="231"/>
      <c r="LOB1" s="231"/>
      <c r="LOC1" s="231"/>
      <c r="LOD1" s="231"/>
      <c r="LOE1" s="231"/>
      <c r="LOF1" s="231"/>
      <c r="LOG1" s="231"/>
      <c r="LOH1" s="231"/>
      <c r="LOI1" s="231"/>
      <c r="LOJ1" s="231"/>
      <c r="LOK1" s="231"/>
      <c r="LOL1" s="231"/>
      <c r="LOM1" s="231"/>
      <c r="LON1" s="231"/>
      <c r="LOO1" s="231"/>
      <c r="LOP1" s="231"/>
      <c r="LOQ1" s="231"/>
      <c r="LOR1" s="231"/>
      <c r="LOS1" s="231"/>
      <c r="LOT1" s="231"/>
      <c r="LOU1" s="231"/>
      <c r="LOV1" s="231"/>
      <c r="LOW1" s="231"/>
      <c r="LOX1" s="231"/>
      <c r="LOY1" s="231"/>
      <c r="LOZ1" s="231"/>
      <c r="LPA1" s="231"/>
      <c r="LPB1" s="231"/>
      <c r="LPC1" s="231"/>
      <c r="LPD1" s="231"/>
      <c r="LPE1" s="231"/>
      <c r="LPF1" s="231"/>
      <c r="LPG1" s="231"/>
      <c r="LPH1" s="231"/>
      <c r="LPI1" s="231"/>
      <c r="LPJ1" s="231"/>
      <c r="LPK1" s="231"/>
      <c r="LPL1" s="231"/>
      <c r="LPM1" s="231"/>
      <c r="LPN1" s="231"/>
      <c r="LPO1" s="231"/>
      <c r="LPP1" s="231"/>
      <c r="LPQ1" s="231"/>
      <c r="LPR1" s="231"/>
      <c r="LPS1" s="231"/>
      <c r="LPT1" s="231"/>
      <c r="LPU1" s="231"/>
      <c r="LPV1" s="231"/>
      <c r="LPW1" s="231"/>
      <c r="LPX1" s="231"/>
      <c r="LPY1" s="231"/>
      <c r="LPZ1" s="231"/>
      <c r="LQA1" s="231"/>
      <c r="LQB1" s="231"/>
      <c r="LQC1" s="231"/>
      <c r="LQD1" s="231"/>
      <c r="LQE1" s="231"/>
      <c r="LQF1" s="231"/>
      <c r="LQG1" s="231"/>
      <c r="LQH1" s="231"/>
      <c r="LQI1" s="231"/>
      <c r="LQJ1" s="231"/>
      <c r="LQK1" s="231"/>
      <c r="LQL1" s="231"/>
      <c r="LQM1" s="231"/>
      <c r="LQN1" s="231"/>
      <c r="LQO1" s="231"/>
      <c r="LQP1" s="231"/>
      <c r="LQQ1" s="231"/>
      <c r="LQR1" s="231"/>
      <c r="LQS1" s="231"/>
      <c r="LQT1" s="231"/>
      <c r="LQU1" s="231"/>
      <c r="LQV1" s="231"/>
      <c r="LQW1" s="231"/>
      <c r="LQX1" s="231"/>
      <c r="LQY1" s="231"/>
      <c r="LQZ1" s="231"/>
      <c r="LRA1" s="231"/>
      <c r="LRB1" s="231"/>
      <c r="LRC1" s="231"/>
      <c r="LRD1" s="231"/>
      <c r="LRE1" s="231"/>
      <c r="LRF1" s="231"/>
      <c r="LRG1" s="231"/>
      <c r="LRH1" s="231"/>
      <c r="LRI1" s="231"/>
      <c r="LRJ1" s="231"/>
      <c r="LRK1" s="231"/>
      <c r="LRL1" s="231"/>
      <c r="LRM1" s="231"/>
      <c r="LRN1" s="231"/>
      <c r="LRO1" s="231"/>
      <c r="LRP1" s="231"/>
      <c r="LRQ1" s="231"/>
      <c r="LRR1" s="231"/>
      <c r="LRS1" s="231"/>
      <c r="LRT1" s="231"/>
      <c r="LRU1" s="231"/>
      <c r="LRV1" s="231"/>
      <c r="LRW1" s="231"/>
      <c r="LRX1" s="231"/>
      <c r="LRY1" s="231"/>
      <c r="LRZ1" s="231"/>
      <c r="LSA1" s="231"/>
      <c r="LSB1" s="231"/>
      <c r="LSC1" s="231"/>
      <c r="LSD1" s="231"/>
      <c r="LSE1" s="231"/>
      <c r="LSF1" s="231"/>
      <c r="LSG1" s="231"/>
      <c r="LSH1" s="231"/>
      <c r="LSI1" s="231"/>
      <c r="LSJ1" s="231"/>
      <c r="LSK1" s="231"/>
      <c r="LSL1" s="231"/>
      <c r="LSM1" s="231"/>
      <c r="LSN1" s="231"/>
      <c r="LSO1" s="231"/>
      <c r="LSP1" s="231"/>
      <c r="LSQ1" s="231"/>
      <c r="LSR1" s="231"/>
      <c r="LSS1" s="231"/>
      <c r="LST1" s="231"/>
      <c r="LSU1" s="231"/>
      <c r="LSV1" s="231"/>
      <c r="LSW1" s="231"/>
      <c r="LSX1" s="231"/>
      <c r="LSY1" s="231"/>
      <c r="LSZ1" s="231"/>
      <c r="LTA1" s="231"/>
      <c r="LTB1" s="231"/>
      <c r="LTC1" s="231"/>
      <c r="LTD1" s="231"/>
      <c r="LTE1" s="231"/>
      <c r="LTF1" s="231"/>
      <c r="LTG1" s="231"/>
      <c r="LTH1" s="231"/>
      <c r="LTI1" s="231"/>
      <c r="LTJ1" s="231"/>
      <c r="LTK1" s="231"/>
      <c r="LTL1" s="231"/>
      <c r="LTM1" s="231"/>
      <c r="LTN1" s="231"/>
      <c r="LTO1" s="231"/>
      <c r="LTP1" s="231"/>
      <c r="LTQ1" s="231"/>
      <c r="LTR1" s="231"/>
      <c r="LTS1" s="231"/>
      <c r="LTT1" s="231"/>
      <c r="LTU1" s="231"/>
      <c r="LTV1" s="231"/>
      <c r="LTW1" s="231"/>
      <c r="LTX1" s="231"/>
      <c r="LTY1" s="231"/>
      <c r="LTZ1" s="231"/>
      <c r="LUA1" s="231"/>
      <c r="LUB1" s="231"/>
      <c r="LUC1" s="231"/>
      <c r="LUD1" s="231"/>
      <c r="LUE1" s="231"/>
      <c r="LUF1" s="231"/>
      <c r="LUG1" s="231"/>
      <c r="LUH1" s="231"/>
      <c r="LUI1" s="231"/>
      <c r="LUJ1" s="231"/>
      <c r="LUK1" s="231"/>
      <c r="LUL1" s="231"/>
      <c r="LUM1" s="231"/>
      <c r="LUN1" s="231"/>
      <c r="LUO1" s="231"/>
      <c r="LUP1" s="231"/>
      <c r="LUQ1" s="231"/>
      <c r="LUR1" s="231"/>
      <c r="LUS1" s="231"/>
      <c r="LUT1" s="231"/>
      <c r="LUU1" s="231"/>
      <c r="LUV1" s="231"/>
      <c r="LUW1" s="231"/>
      <c r="LUX1" s="231"/>
      <c r="LUY1" s="231"/>
      <c r="LUZ1" s="231"/>
      <c r="LVA1" s="231"/>
      <c r="LVB1" s="231"/>
      <c r="LVC1" s="231"/>
      <c r="LVD1" s="231"/>
      <c r="LVE1" s="231"/>
      <c r="LVF1" s="231"/>
      <c r="LVG1" s="231"/>
      <c r="LVH1" s="231"/>
      <c r="LVI1" s="231"/>
      <c r="LVJ1" s="231"/>
      <c r="LVK1" s="231"/>
      <c r="LVL1" s="231"/>
      <c r="LVM1" s="231"/>
      <c r="LVN1" s="231"/>
      <c r="LVO1" s="231"/>
      <c r="LVP1" s="231"/>
      <c r="LVQ1" s="231"/>
      <c r="LVR1" s="231"/>
      <c r="LVS1" s="231"/>
      <c r="LVT1" s="231"/>
      <c r="LVU1" s="231"/>
      <c r="LVV1" s="231"/>
      <c r="LVW1" s="231"/>
      <c r="LVX1" s="231"/>
      <c r="LVY1" s="231"/>
      <c r="LVZ1" s="231"/>
      <c r="LWA1" s="231"/>
      <c r="LWB1" s="231"/>
      <c r="LWC1" s="231"/>
      <c r="LWD1" s="231"/>
      <c r="LWE1" s="231"/>
      <c r="LWF1" s="231"/>
      <c r="LWG1" s="231"/>
      <c r="LWH1" s="231"/>
      <c r="LWI1" s="231"/>
      <c r="LWJ1" s="231"/>
      <c r="LWK1" s="231"/>
      <c r="LWL1" s="231"/>
      <c r="LWM1" s="231"/>
      <c r="LWN1" s="231"/>
      <c r="LWO1" s="231"/>
      <c r="LWP1" s="231"/>
      <c r="LWQ1" s="231"/>
      <c r="LWR1" s="231"/>
      <c r="LWS1" s="231"/>
      <c r="LWT1" s="231"/>
      <c r="LWU1" s="231"/>
      <c r="LWV1" s="231"/>
      <c r="LWW1" s="231"/>
      <c r="LWX1" s="231"/>
      <c r="LWY1" s="231"/>
      <c r="LWZ1" s="231"/>
      <c r="LXA1" s="231"/>
      <c r="LXB1" s="231"/>
      <c r="LXC1" s="231"/>
      <c r="LXD1" s="231"/>
      <c r="LXE1" s="231"/>
      <c r="LXF1" s="231"/>
      <c r="LXG1" s="231"/>
      <c r="LXH1" s="231"/>
      <c r="LXI1" s="231"/>
      <c r="LXJ1" s="231"/>
      <c r="LXK1" s="231"/>
      <c r="LXL1" s="231"/>
      <c r="LXM1" s="231"/>
      <c r="LXN1" s="231"/>
      <c r="LXO1" s="231"/>
      <c r="LXP1" s="231"/>
      <c r="LXQ1" s="231"/>
      <c r="LXR1" s="231"/>
      <c r="LXS1" s="231"/>
      <c r="LXT1" s="231"/>
      <c r="LXU1" s="231"/>
      <c r="LXV1" s="231"/>
      <c r="LXW1" s="231"/>
      <c r="LXX1" s="231"/>
      <c r="LXY1" s="231"/>
      <c r="LXZ1" s="231"/>
      <c r="LYA1" s="231"/>
      <c r="LYB1" s="231"/>
      <c r="LYC1" s="231"/>
      <c r="LYD1" s="231"/>
      <c r="LYE1" s="231"/>
      <c r="LYF1" s="231"/>
      <c r="LYG1" s="231"/>
      <c r="LYH1" s="231"/>
      <c r="LYI1" s="231"/>
      <c r="LYJ1" s="231"/>
      <c r="LYK1" s="231"/>
      <c r="LYL1" s="231"/>
      <c r="LYM1" s="231"/>
      <c r="LYN1" s="231"/>
      <c r="LYO1" s="231"/>
      <c r="LYP1" s="231"/>
      <c r="LYQ1" s="231"/>
      <c r="LYR1" s="231"/>
      <c r="LYS1" s="231"/>
      <c r="LYT1" s="231"/>
      <c r="LYU1" s="231"/>
      <c r="LYV1" s="231"/>
      <c r="LYW1" s="231"/>
      <c r="LYX1" s="231"/>
      <c r="LYY1" s="231"/>
      <c r="LYZ1" s="231"/>
      <c r="LZA1" s="231"/>
      <c r="LZB1" s="231"/>
      <c r="LZC1" s="231"/>
      <c r="LZD1" s="231"/>
      <c r="LZE1" s="231"/>
      <c r="LZF1" s="231"/>
      <c r="LZG1" s="231"/>
      <c r="LZH1" s="231"/>
      <c r="LZI1" s="231"/>
      <c r="LZJ1" s="231"/>
      <c r="LZK1" s="231"/>
      <c r="LZL1" s="231"/>
      <c r="LZM1" s="231"/>
      <c r="LZN1" s="231"/>
      <c r="LZO1" s="231"/>
      <c r="LZP1" s="231"/>
      <c r="LZQ1" s="231"/>
      <c r="LZR1" s="231"/>
      <c r="LZS1" s="231"/>
      <c r="LZT1" s="231"/>
      <c r="LZU1" s="231"/>
      <c r="LZV1" s="231"/>
      <c r="LZW1" s="231"/>
      <c r="LZX1" s="231"/>
      <c r="LZY1" s="231"/>
      <c r="LZZ1" s="231"/>
      <c r="MAA1" s="231"/>
      <c r="MAB1" s="231"/>
      <c r="MAC1" s="231"/>
      <c r="MAD1" s="231"/>
      <c r="MAE1" s="231"/>
      <c r="MAF1" s="231"/>
      <c r="MAG1" s="231"/>
      <c r="MAH1" s="231"/>
      <c r="MAI1" s="231"/>
      <c r="MAJ1" s="231"/>
      <c r="MAK1" s="231"/>
      <c r="MAL1" s="231"/>
      <c r="MAM1" s="231"/>
      <c r="MAN1" s="231"/>
      <c r="MAO1" s="231"/>
      <c r="MAP1" s="231"/>
      <c r="MAQ1" s="231"/>
      <c r="MAR1" s="231"/>
      <c r="MAS1" s="231"/>
      <c r="MAT1" s="231"/>
      <c r="MAU1" s="231"/>
      <c r="MAV1" s="231"/>
      <c r="MAW1" s="231"/>
      <c r="MAX1" s="231"/>
      <c r="MAY1" s="231"/>
      <c r="MAZ1" s="231"/>
      <c r="MBA1" s="231"/>
      <c r="MBB1" s="231"/>
      <c r="MBC1" s="231"/>
      <c r="MBD1" s="231"/>
      <c r="MBE1" s="231"/>
      <c r="MBF1" s="231"/>
      <c r="MBG1" s="231"/>
      <c r="MBH1" s="231"/>
      <c r="MBI1" s="231"/>
      <c r="MBJ1" s="231"/>
      <c r="MBK1" s="231"/>
      <c r="MBL1" s="231"/>
      <c r="MBM1" s="231"/>
      <c r="MBN1" s="231"/>
      <c r="MBO1" s="231"/>
      <c r="MBP1" s="231"/>
      <c r="MBQ1" s="231"/>
      <c r="MBR1" s="231"/>
      <c r="MBS1" s="231"/>
      <c r="MBT1" s="231"/>
      <c r="MBU1" s="231"/>
      <c r="MBV1" s="231"/>
      <c r="MBW1" s="231"/>
      <c r="MBX1" s="231"/>
      <c r="MBY1" s="231"/>
      <c r="MBZ1" s="231"/>
      <c r="MCA1" s="231"/>
      <c r="MCB1" s="231"/>
      <c r="MCC1" s="231"/>
      <c r="MCD1" s="231"/>
      <c r="MCE1" s="231"/>
      <c r="MCF1" s="231"/>
      <c r="MCG1" s="231"/>
      <c r="MCH1" s="231"/>
      <c r="MCI1" s="231"/>
      <c r="MCJ1" s="231"/>
      <c r="MCK1" s="231"/>
      <c r="MCL1" s="231"/>
      <c r="MCM1" s="231"/>
      <c r="MCN1" s="231"/>
      <c r="MCO1" s="231"/>
      <c r="MCP1" s="231"/>
      <c r="MCQ1" s="231"/>
      <c r="MCR1" s="231"/>
      <c r="MCS1" s="231"/>
      <c r="MCT1" s="231"/>
      <c r="MCU1" s="231"/>
      <c r="MCV1" s="231"/>
      <c r="MCW1" s="231"/>
      <c r="MCX1" s="231"/>
      <c r="MCY1" s="231"/>
      <c r="MCZ1" s="231"/>
      <c r="MDA1" s="231"/>
      <c r="MDB1" s="231"/>
      <c r="MDC1" s="231"/>
      <c r="MDD1" s="231"/>
      <c r="MDE1" s="231"/>
      <c r="MDF1" s="231"/>
      <c r="MDG1" s="231"/>
      <c r="MDH1" s="231"/>
      <c r="MDI1" s="231"/>
      <c r="MDJ1" s="231"/>
      <c r="MDK1" s="231"/>
      <c r="MDL1" s="231"/>
      <c r="MDM1" s="231"/>
      <c r="MDN1" s="231"/>
      <c r="MDO1" s="231"/>
      <c r="MDP1" s="231"/>
      <c r="MDQ1" s="231"/>
      <c r="MDR1" s="231"/>
      <c r="MDS1" s="231"/>
      <c r="MDT1" s="231"/>
      <c r="MDU1" s="231"/>
      <c r="MDV1" s="231"/>
      <c r="MDW1" s="231"/>
      <c r="MDX1" s="231"/>
      <c r="MDY1" s="231"/>
      <c r="MDZ1" s="231"/>
      <c r="MEA1" s="231"/>
      <c r="MEB1" s="231"/>
      <c r="MEC1" s="231"/>
      <c r="MED1" s="231"/>
      <c r="MEE1" s="231"/>
      <c r="MEF1" s="231"/>
      <c r="MEG1" s="231"/>
      <c r="MEH1" s="231"/>
      <c r="MEI1" s="231"/>
      <c r="MEJ1" s="231"/>
      <c r="MEK1" s="231"/>
      <c r="MEL1" s="231"/>
      <c r="MEM1" s="231"/>
      <c r="MEN1" s="231"/>
      <c r="MEO1" s="231"/>
      <c r="MEP1" s="231"/>
      <c r="MEQ1" s="231"/>
      <c r="MER1" s="231"/>
      <c r="MES1" s="231"/>
      <c r="MET1" s="231"/>
      <c r="MEU1" s="231"/>
      <c r="MEV1" s="231"/>
      <c r="MEW1" s="231"/>
      <c r="MEX1" s="231"/>
      <c r="MEY1" s="231"/>
      <c r="MEZ1" s="231"/>
      <c r="MFA1" s="231"/>
      <c r="MFB1" s="231"/>
      <c r="MFC1" s="231"/>
      <c r="MFD1" s="231"/>
      <c r="MFE1" s="231"/>
      <c r="MFF1" s="231"/>
      <c r="MFG1" s="231"/>
      <c r="MFH1" s="231"/>
      <c r="MFI1" s="231"/>
      <c r="MFJ1" s="231"/>
      <c r="MFK1" s="231"/>
      <c r="MFL1" s="231"/>
      <c r="MFM1" s="231"/>
      <c r="MFN1" s="231"/>
      <c r="MFO1" s="231"/>
      <c r="MFP1" s="231"/>
      <c r="MFQ1" s="231"/>
      <c r="MFR1" s="231"/>
      <c r="MFS1" s="231"/>
      <c r="MFT1" s="231"/>
      <c r="MFU1" s="231"/>
      <c r="MFV1" s="231"/>
      <c r="MFW1" s="231"/>
      <c r="MFX1" s="231"/>
      <c r="MFY1" s="231"/>
      <c r="MFZ1" s="231"/>
      <c r="MGA1" s="231"/>
      <c r="MGB1" s="231"/>
      <c r="MGC1" s="231"/>
      <c r="MGD1" s="231"/>
      <c r="MGE1" s="231"/>
      <c r="MGF1" s="231"/>
      <c r="MGG1" s="231"/>
      <c r="MGH1" s="231"/>
      <c r="MGI1" s="231"/>
      <c r="MGJ1" s="231"/>
      <c r="MGK1" s="231"/>
      <c r="MGL1" s="231"/>
      <c r="MGM1" s="231"/>
      <c r="MGN1" s="231"/>
      <c r="MGO1" s="231"/>
      <c r="MGP1" s="231"/>
      <c r="MGQ1" s="231"/>
      <c r="MGR1" s="231"/>
      <c r="MGS1" s="231"/>
      <c r="MGT1" s="231"/>
      <c r="MGU1" s="231"/>
      <c r="MGV1" s="231"/>
      <c r="MGW1" s="231"/>
      <c r="MGX1" s="231"/>
      <c r="MGY1" s="231"/>
      <c r="MGZ1" s="231"/>
      <c r="MHA1" s="231"/>
      <c r="MHB1" s="231"/>
      <c r="MHC1" s="231"/>
      <c r="MHD1" s="231"/>
      <c r="MHE1" s="231"/>
      <c r="MHF1" s="231"/>
      <c r="MHG1" s="231"/>
      <c r="MHH1" s="231"/>
      <c r="MHI1" s="231"/>
      <c r="MHJ1" s="231"/>
      <c r="MHK1" s="231"/>
      <c r="MHL1" s="231"/>
      <c r="MHM1" s="231"/>
      <c r="MHN1" s="231"/>
      <c r="MHO1" s="231"/>
      <c r="MHP1" s="231"/>
      <c r="MHQ1" s="231"/>
      <c r="MHR1" s="231"/>
      <c r="MHS1" s="231"/>
      <c r="MHT1" s="231"/>
      <c r="MHU1" s="231"/>
      <c r="MHV1" s="231"/>
      <c r="MHW1" s="231"/>
      <c r="MHX1" s="231"/>
      <c r="MHY1" s="231"/>
      <c r="MHZ1" s="231"/>
      <c r="MIA1" s="231"/>
      <c r="MIB1" s="231"/>
      <c r="MIC1" s="231"/>
      <c r="MID1" s="231"/>
      <c r="MIE1" s="231"/>
      <c r="MIF1" s="231"/>
      <c r="MIG1" s="231"/>
      <c r="MIH1" s="231"/>
      <c r="MII1" s="231"/>
      <c r="MIJ1" s="231"/>
      <c r="MIK1" s="231"/>
      <c r="MIL1" s="231"/>
      <c r="MIM1" s="231"/>
      <c r="MIN1" s="231"/>
      <c r="MIO1" s="231"/>
      <c r="MIP1" s="231"/>
      <c r="MIQ1" s="231"/>
      <c r="MIR1" s="231"/>
      <c r="MIS1" s="231"/>
      <c r="MIT1" s="231"/>
      <c r="MIU1" s="231"/>
      <c r="MIV1" s="231"/>
      <c r="MIW1" s="231"/>
      <c r="MIX1" s="231"/>
      <c r="MIY1" s="231"/>
      <c r="MIZ1" s="231"/>
      <c r="MJA1" s="231"/>
      <c r="MJB1" s="231"/>
      <c r="MJC1" s="231"/>
      <c r="MJD1" s="231"/>
      <c r="MJE1" s="231"/>
      <c r="MJF1" s="231"/>
      <c r="MJG1" s="231"/>
      <c r="MJH1" s="231"/>
      <c r="MJI1" s="231"/>
      <c r="MJJ1" s="231"/>
      <c r="MJK1" s="231"/>
      <c r="MJL1" s="231"/>
      <c r="MJM1" s="231"/>
      <c r="MJN1" s="231"/>
      <c r="MJO1" s="231"/>
      <c r="MJP1" s="231"/>
      <c r="MJQ1" s="231"/>
      <c r="MJR1" s="231"/>
      <c r="MJS1" s="231"/>
      <c r="MJT1" s="231"/>
      <c r="MJU1" s="231"/>
      <c r="MJV1" s="231"/>
      <c r="MJW1" s="231"/>
      <c r="MJX1" s="231"/>
      <c r="MJY1" s="231"/>
      <c r="MJZ1" s="231"/>
      <c r="MKA1" s="231"/>
      <c r="MKB1" s="231"/>
      <c r="MKC1" s="231"/>
      <c r="MKD1" s="231"/>
      <c r="MKE1" s="231"/>
      <c r="MKF1" s="231"/>
      <c r="MKG1" s="231"/>
      <c r="MKH1" s="231"/>
      <c r="MKI1" s="231"/>
      <c r="MKJ1" s="231"/>
      <c r="MKK1" s="231"/>
      <c r="MKL1" s="231"/>
      <c r="MKM1" s="231"/>
      <c r="MKN1" s="231"/>
      <c r="MKO1" s="231"/>
      <c r="MKP1" s="231"/>
      <c r="MKQ1" s="231"/>
      <c r="MKR1" s="231"/>
      <c r="MKS1" s="231"/>
      <c r="MKT1" s="231"/>
      <c r="MKU1" s="231"/>
      <c r="MKV1" s="231"/>
      <c r="MKW1" s="231"/>
      <c r="MKX1" s="231"/>
      <c r="MKY1" s="231"/>
      <c r="MKZ1" s="231"/>
      <c r="MLA1" s="231"/>
      <c r="MLB1" s="231"/>
      <c r="MLC1" s="231"/>
      <c r="MLD1" s="231"/>
      <c r="MLE1" s="231"/>
      <c r="MLF1" s="231"/>
      <c r="MLG1" s="231"/>
      <c r="MLH1" s="231"/>
      <c r="MLI1" s="231"/>
      <c r="MLJ1" s="231"/>
      <c r="MLK1" s="231"/>
      <c r="MLL1" s="231"/>
      <c r="MLM1" s="231"/>
      <c r="MLN1" s="231"/>
      <c r="MLO1" s="231"/>
      <c r="MLP1" s="231"/>
      <c r="MLQ1" s="231"/>
      <c r="MLR1" s="231"/>
      <c r="MLS1" s="231"/>
      <c r="MLT1" s="231"/>
      <c r="MLU1" s="231"/>
      <c r="MLV1" s="231"/>
      <c r="MLW1" s="231"/>
      <c r="MLX1" s="231"/>
      <c r="MLY1" s="231"/>
      <c r="MLZ1" s="231"/>
      <c r="MMA1" s="231"/>
      <c r="MMB1" s="231"/>
      <c r="MMC1" s="231"/>
      <c r="MMD1" s="231"/>
      <c r="MME1" s="231"/>
      <c r="MMF1" s="231"/>
      <c r="MMG1" s="231"/>
      <c r="MMH1" s="231"/>
      <c r="MMI1" s="231"/>
      <c r="MMJ1" s="231"/>
      <c r="MMK1" s="231"/>
      <c r="MML1" s="231"/>
      <c r="MMM1" s="231"/>
      <c r="MMN1" s="231"/>
      <c r="MMO1" s="231"/>
      <c r="MMP1" s="231"/>
      <c r="MMQ1" s="231"/>
      <c r="MMR1" s="231"/>
      <c r="MMS1" s="231"/>
      <c r="MMT1" s="231"/>
      <c r="MMU1" s="231"/>
      <c r="MMV1" s="231"/>
      <c r="MMW1" s="231"/>
      <c r="MMX1" s="231"/>
      <c r="MMY1" s="231"/>
      <c r="MMZ1" s="231"/>
      <c r="MNA1" s="231"/>
      <c r="MNB1" s="231"/>
      <c r="MNC1" s="231"/>
      <c r="MND1" s="231"/>
      <c r="MNE1" s="231"/>
      <c r="MNF1" s="231"/>
      <c r="MNG1" s="231"/>
      <c r="MNH1" s="231"/>
      <c r="MNI1" s="231"/>
      <c r="MNJ1" s="231"/>
      <c r="MNK1" s="231"/>
      <c r="MNL1" s="231"/>
      <c r="MNM1" s="231"/>
      <c r="MNN1" s="231"/>
      <c r="MNO1" s="231"/>
      <c r="MNP1" s="231"/>
      <c r="MNQ1" s="231"/>
      <c r="MNR1" s="231"/>
      <c r="MNS1" s="231"/>
      <c r="MNT1" s="231"/>
      <c r="MNU1" s="231"/>
      <c r="MNV1" s="231"/>
      <c r="MNW1" s="231"/>
      <c r="MNX1" s="231"/>
      <c r="MNY1" s="231"/>
      <c r="MNZ1" s="231"/>
      <c r="MOA1" s="231"/>
      <c r="MOB1" s="231"/>
      <c r="MOC1" s="231"/>
      <c r="MOD1" s="231"/>
      <c r="MOE1" s="231"/>
      <c r="MOF1" s="231"/>
      <c r="MOG1" s="231"/>
      <c r="MOH1" s="231"/>
      <c r="MOI1" s="231"/>
      <c r="MOJ1" s="231"/>
      <c r="MOK1" s="231"/>
      <c r="MOL1" s="231"/>
      <c r="MOM1" s="231"/>
      <c r="MON1" s="231"/>
      <c r="MOO1" s="231"/>
      <c r="MOP1" s="231"/>
      <c r="MOQ1" s="231"/>
      <c r="MOR1" s="231"/>
      <c r="MOS1" s="231"/>
      <c r="MOT1" s="231"/>
      <c r="MOU1" s="231"/>
      <c r="MOV1" s="231"/>
      <c r="MOW1" s="231"/>
      <c r="MOX1" s="231"/>
      <c r="MOY1" s="231"/>
      <c r="MOZ1" s="231"/>
      <c r="MPA1" s="231"/>
      <c r="MPB1" s="231"/>
      <c r="MPC1" s="231"/>
      <c r="MPD1" s="231"/>
      <c r="MPE1" s="231"/>
      <c r="MPF1" s="231"/>
      <c r="MPG1" s="231"/>
      <c r="MPH1" s="231"/>
      <c r="MPI1" s="231"/>
      <c r="MPJ1" s="231"/>
      <c r="MPK1" s="231"/>
      <c r="MPL1" s="231"/>
      <c r="MPM1" s="231"/>
      <c r="MPN1" s="231"/>
      <c r="MPO1" s="231"/>
      <c r="MPP1" s="231"/>
      <c r="MPQ1" s="231"/>
      <c r="MPR1" s="231"/>
      <c r="MPS1" s="231"/>
      <c r="MPT1" s="231"/>
      <c r="MPU1" s="231"/>
      <c r="MPV1" s="231"/>
      <c r="MPW1" s="231"/>
      <c r="MPX1" s="231"/>
      <c r="MPY1" s="231"/>
      <c r="MPZ1" s="231"/>
      <c r="MQA1" s="231"/>
      <c r="MQB1" s="231"/>
      <c r="MQC1" s="231"/>
      <c r="MQD1" s="231"/>
      <c r="MQE1" s="231"/>
      <c r="MQF1" s="231"/>
      <c r="MQG1" s="231"/>
      <c r="MQH1" s="231"/>
      <c r="MQI1" s="231"/>
      <c r="MQJ1" s="231"/>
      <c r="MQK1" s="231"/>
      <c r="MQL1" s="231"/>
      <c r="MQM1" s="231"/>
      <c r="MQN1" s="231"/>
      <c r="MQO1" s="231"/>
      <c r="MQP1" s="231"/>
      <c r="MQQ1" s="231"/>
      <c r="MQR1" s="231"/>
      <c r="MQS1" s="231"/>
      <c r="MQT1" s="231"/>
      <c r="MQU1" s="231"/>
      <c r="MQV1" s="231"/>
      <c r="MQW1" s="231"/>
      <c r="MQX1" s="231"/>
      <c r="MQY1" s="231"/>
      <c r="MQZ1" s="231"/>
      <c r="MRA1" s="231"/>
      <c r="MRB1" s="231"/>
      <c r="MRC1" s="231"/>
      <c r="MRD1" s="231"/>
      <c r="MRE1" s="231"/>
      <c r="MRF1" s="231"/>
      <c r="MRG1" s="231"/>
      <c r="MRH1" s="231"/>
      <c r="MRI1" s="231"/>
      <c r="MRJ1" s="231"/>
      <c r="MRK1" s="231"/>
      <c r="MRL1" s="231"/>
      <c r="MRM1" s="231"/>
      <c r="MRN1" s="231"/>
      <c r="MRO1" s="231"/>
      <c r="MRP1" s="231"/>
      <c r="MRQ1" s="231"/>
      <c r="MRR1" s="231"/>
      <c r="MRS1" s="231"/>
      <c r="MRT1" s="231"/>
      <c r="MRU1" s="231"/>
      <c r="MRV1" s="231"/>
      <c r="MRW1" s="231"/>
      <c r="MRX1" s="231"/>
      <c r="MRY1" s="231"/>
      <c r="MRZ1" s="231"/>
      <c r="MSA1" s="231"/>
      <c r="MSB1" s="231"/>
      <c r="MSC1" s="231"/>
      <c r="MSD1" s="231"/>
      <c r="MSE1" s="231"/>
      <c r="MSF1" s="231"/>
      <c r="MSG1" s="231"/>
      <c r="MSH1" s="231"/>
      <c r="MSI1" s="231"/>
      <c r="MSJ1" s="231"/>
      <c r="MSK1" s="231"/>
      <c r="MSL1" s="231"/>
      <c r="MSM1" s="231"/>
      <c r="MSN1" s="231"/>
      <c r="MSO1" s="231"/>
      <c r="MSP1" s="231"/>
      <c r="MSQ1" s="231"/>
      <c r="MSR1" s="231"/>
      <c r="MSS1" s="231"/>
      <c r="MST1" s="231"/>
      <c r="MSU1" s="231"/>
      <c r="MSV1" s="231"/>
      <c r="MSW1" s="231"/>
      <c r="MSX1" s="231"/>
      <c r="MSY1" s="231"/>
      <c r="MSZ1" s="231"/>
      <c r="MTA1" s="231"/>
      <c r="MTB1" s="231"/>
      <c r="MTC1" s="231"/>
      <c r="MTD1" s="231"/>
      <c r="MTE1" s="231"/>
      <c r="MTF1" s="231"/>
      <c r="MTG1" s="231"/>
      <c r="MTH1" s="231"/>
      <c r="MTI1" s="231"/>
      <c r="MTJ1" s="231"/>
      <c r="MTK1" s="231"/>
      <c r="MTL1" s="231"/>
      <c r="MTM1" s="231"/>
      <c r="MTN1" s="231"/>
      <c r="MTO1" s="231"/>
      <c r="MTP1" s="231"/>
      <c r="MTQ1" s="231"/>
      <c r="MTR1" s="231"/>
      <c r="MTS1" s="231"/>
      <c r="MTT1" s="231"/>
      <c r="MTU1" s="231"/>
      <c r="MTV1" s="231"/>
      <c r="MTW1" s="231"/>
      <c r="MTX1" s="231"/>
      <c r="MTY1" s="231"/>
      <c r="MTZ1" s="231"/>
      <c r="MUA1" s="231"/>
      <c r="MUB1" s="231"/>
      <c r="MUC1" s="231"/>
      <c r="MUD1" s="231"/>
      <c r="MUE1" s="231"/>
      <c r="MUF1" s="231"/>
      <c r="MUG1" s="231"/>
      <c r="MUH1" s="231"/>
      <c r="MUI1" s="231"/>
      <c r="MUJ1" s="231"/>
      <c r="MUK1" s="231"/>
      <c r="MUL1" s="231"/>
      <c r="MUM1" s="231"/>
      <c r="MUN1" s="231"/>
      <c r="MUO1" s="231"/>
      <c r="MUP1" s="231"/>
      <c r="MUQ1" s="231"/>
      <c r="MUR1" s="231"/>
      <c r="MUS1" s="231"/>
      <c r="MUT1" s="231"/>
      <c r="MUU1" s="231"/>
      <c r="MUV1" s="231"/>
      <c r="MUW1" s="231"/>
      <c r="MUX1" s="231"/>
      <c r="MUY1" s="231"/>
      <c r="MUZ1" s="231"/>
      <c r="MVA1" s="231"/>
      <c r="MVB1" s="231"/>
      <c r="MVC1" s="231"/>
      <c r="MVD1" s="231"/>
      <c r="MVE1" s="231"/>
      <c r="MVF1" s="231"/>
      <c r="MVG1" s="231"/>
      <c r="MVH1" s="231"/>
      <c r="MVI1" s="231"/>
      <c r="MVJ1" s="231"/>
      <c r="MVK1" s="231"/>
      <c r="MVL1" s="231"/>
      <c r="MVM1" s="231"/>
      <c r="MVN1" s="231"/>
      <c r="MVO1" s="231"/>
      <c r="MVP1" s="231"/>
      <c r="MVQ1" s="231"/>
      <c r="MVR1" s="231"/>
      <c r="MVS1" s="231"/>
      <c r="MVT1" s="231"/>
      <c r="MVU1" s="231"/>
      <c r="MVV1" s="231"/>
      <c r="MVW1" s="231"/>
      <c r="MVX1" s="231"/>
      <c r="MVY1" s="231"/>
      <c r="MVZ1" s="231"/>
      <c r="MWA1" s="231"/>
      <c r="MWB1" s="231"/>
      <c r="MWC1" s="231"/>
      <c r="MWD1" s="231"/>
      <c r="MWE1" s="231"/>
      <c r="MWF1" s="231"/>
      <c r="MWG1" s="231"/>
      <c r="MWH1" s="231"/>
      <c r="MWI1" s="231"/>
      <c r="MWJ1" s="231"/>
      <c r="MWK1" s="231"/>
      <c r="MWL1" s="231"/>
      <c r="MWM1" s="231"/>
      <c r="MWN1" s="231"/>
      <c r="MWO1" s="231"/>
      <c r="MWP1" s="231"/>
      <c r="MWQ1" s="231"/>
      <c r="MWR1" s="231"/>
      <c r="MWS1" s="231"/>
      <c r="MWT1" s="231"/>
      <c r="MWU1" s="231"/>
      <c r="MWV1" s="231"/>
      <c r="MWW1" s="231"/>
      <c r="MWX1" s="231"/>
      <c r="MWY1" s="231"/>
      <c r="MWZ1" s="231"/>
      <c r="MXA1" s="231"/>
      <c r="MXB1" s="231"/>
      <c r="MXC1" s="231"/>
      <c r="MXD1" s="231"/>
      <c r="MXE1" s="231"/>
      <c r="MXF1" s="231"/>
      <c r="MXG1" s="231"/>
      <c r="MXH1" s="231"/>
      <c r="MXI1" s="231"/>
      <c r="MXJ1" s="231"/>
      <c r="MXK1" s="231"/>
      <c r="MXL1" s="231"/>
      <c r="MXM1" s="231"/>
      <c r="MXN1" s="231"/>
      <c r="MXO1" s="231"/>
      <c r="MXP1" s="231"/>
      <c r="MXQ1" s="231"/>
      <c r="MXR1" s="231"/>
      <c r="MXS1" s="231"/>
      <c r="MXT1" s="231"/>
      <c r="MXU1" s="231"/>
      <c r="MXV1" s="231"/>
      <c r="MXW1" s="231"/>
      <c r="MXX1" s="231"/>
      <c r="MXY1" s="231"/>
      <c r="MXZ1" s="231"/>
      <c r="MYA1" s="231"/>
      <c r="MYB1" s="231"/>
      <c r="MYC1" s="231"/>
      <c r="MYD1" s="231"/>
      <c r="MYE1" s="231"/>
      <c r="MYF1" s="231"/>
      <c r="MYG1" s="231"/>
      <c r="MYH1" s="231"/>
      <c r="MYI1" s="231"/>
      <c r="MYJ1" s="231"/>
      <c r="MYK1" s="231"/>
      <c r="MYL1" s="231"/>
      <c r="MYM1" s="231"/>
      <c r="MYN1" s="231"/>
      <c r="MYO1" s="231"/>
      <c r="MYP1" s="231"/>
      <c r="MYQ1" s="231"/>
      <c r="MYR1" s="231"/>
      <c r="MYS1" s="231"/>
      <c r="MYT1" s="231"/>
      <c r="MYU1" s="231"/>
      <c r="MYV1" s="231"/>
      <c r="MYW1" s="231"/>
      <c r="MYX1" s="231"/>
      <c r="MYY1" s="231"/>
      <c r="MYZ1" s="231"/>
      <c r="MZA1" s="231"/>
      <c r="MZB1" s="231"/>
      <c r="MZC1" s="231"/>
      <c r="MZD1" s="231"/>
      <c r="MZE1" s="231"/>
      <c r="MZF1" s="231"/>
      <c r="MZG1" s="231"/>
      <c r="MZH1" s="231"/>
      <c r="MZI1" s="231"/>
      <c r="MZJ1" s="231"/>
      <c r="MZK1" s="231"/>
      <c r="MZL1" s="231"/>
      <c r="MZM1" s="231"/>
      <c r="MZN1" s="231"/>
      <c r="MZO1" s="231"/>
      <c r="MZP1" s="231"/>
      <c r="MZQ1" s="231"/>
      <c r="MZR1" s="231"/>
      <c r="MZS1" s="231"/>
      <c r="MZT1" s="231"/>
      <c r="MZU1" s="231"/>
      <c r="MZV1" s="231"/>
      <c r="MZW1" s="231"/>
      <c r="MZX1" s="231"/>
      <c r="MZY1" s="231"/>
      <c r="MZZ1" s="231"/>
      <c r="NAA1" s="231"/>
      <c r="NAB1" s="231"/>
      <c r="NAC1" s="231"/>
      <c r="NAD1" s="231"/>
      <c r="NAE1" s="231"/>
      <c r="NAF1" s="231"/>
      <c r="NAG1" s="231"/>
      <c r="NAH1" s="231"/>
      <c r="NAI1" s="231"/>
      <c r="NAJ1" s="231"/>
      <c r="NAK1" s="231"/>
      <c r="NAL1" s="231"/>
      <c r="NAM1" s="231"/>
      <c r="NAN1" s="231"/>
      <c r="NAO1" s="231"/>
      <c r="NAP1" s="231"/>
      <c r="NAQ1" s="231"/>
      <c r="NAR1" s="231"/>
      <c r="NAS1" s="231"/>
      <c r="NAT1" s="231"/>
      <c r="NAU1" s="231"/>
      <c r="NAV1" s="231"/>
      <c r="NAW1" s="231"/>
      <c r="NAX1" s="231"/>
      <c r="NAY1" s="231"/>
      <c r="NAZ1" s="231"/>
      <c r="NBA1" s="231"/>
      <c r="NBB1" s="231"/>
      <c r="NBC1" s="231"/>
      <c r="NBD1" s="231"/>
      <c r="NBE1" s="231"/>
      <c r="NBF1" s="231"/>
      <c r="NBG1" s="231"/>
      <c r="NBH1" s="231"/>
      <c r="NBI1" s="231"/>
      <c r="NBJ1" s="231"/>
      <c r="NBK1" s="231"/>
      <c r="NBL1" s="231"/>
      <c r="NBM1" s="231"/>
      <c r="NBN1" s="231"/>
      <c r="NBO1" s="231"/>
      <c r="NBP1" s="231"/>
      <c r="NBQ1" s="231"/>
      <c r="NBR1" s="231"/>
      <c r="NBS1" s="231"/>
      <c r="NBT1" s="231"/>
      <c r="NBU1" s="231"/>
      <c r="NBV1" s="231"/>
      <c r="NBW1" s="231"/>
      <c r="NBX1" s="231"/>
      <c r="NBY1" s="231"/>
      <c r="NBZ1" s="231"/>
      <c r="NCA1" s="231"/>
      <c r="NCB1" s="231"/>
      <c r="NCC1" s="231"/>
      <c r="NCD1" s="231"/>
      <c r="NCE1" s="231"/>
      <c r="NCF1" s="231"/>
      <c r="NCG1" s="231"/>
      <c r="NCH1" s="231"/>
      <c r="NCI1" s="231"/>
      <c r="NCJ1" s="231"/>
      <c r="NCK1" s="231"/>
      <c r="NCL1" s="231"/>
      <c r="NCM1" s="231"/>
      <c r="NCN1" s="231"/>
      <c r="NCO1" s="231"/>
      <c r="NCP1" s="231"/>
      <c r="NCQ1" s="231"/>
      <c r="NCR1" s="231"/>
      <c r="NCS1" s="231"/>
      <c r="NCT1" s="231"/>
      <c r="NCU1" s="231"/>
      <c r="NCV1" s="231"/>
      <c r="NCW1" s="231"/>
      <c r="NCX1" s="231"/>
      <c r="NCY1" s="231"/>
      <c r="NCZ1" s="231"/>
      <c r="NDA1" s="231"/>
      <c r="NDB1" s="231"/>
      <c r="NDC1" s="231"/>
      <c r="NDD1" s="231"/>
      <c r="NDE1" s="231"/>
      <c r="NDF1" s="231"/>
      <c r="NDG1" s="231"/>
      <c r="NDH1" s="231"/>
      <c r="NDI1" s="231"/>
      <c r="NDJ1" s="231"/>
      <c r="NDK1" s="231"/>
      <c r="NDL1" s="231"/>
      <c r="NDM1" s="231"/>
      <c r="NDN1" s="231"/>
      <c r="NDO1" s="231"/>
      <c r="NDP1" s="231"/>
      <c r="NDQ1" s="231"/>
      <c r="NDR1" s="231"/>
      <c r="NDS1" s="231"/>
      <c r="NDT1" s="231"/>
      <c r="NDU1" s="231"/>
      <c r="NDV1" s="231"/>
      <c r="NDW1" s="231"/>
      <c r="NDX1" s="231"/>
      <c r="NDY1" s="231"/>
      <c r="NDZ1" s="231"/>
      <c r="NEA1" s="231"/>
      <c r="NEB1" s="231"/>
      <c r="NEC1" s="231"/>
      <c r="NED1" s="231"/>
      <c r="NEE1" s="231"/>
      <c r="NEF1" s="231"/>
      <c r="NEG1" s="231"/>
      <c r="NEH1" s="231"/>
      <c r="NEI1" s="231"/>
      <c r="NEJ1" s="231"/>
      <c r="NEK1" s="231"/>
      <c r="NEL1" s="231"/>
      <c r="NEM1" s="231"/>
      <c r="NEN1" s="231"/>
      <c r="NEO1" s="231"/>
      <c r="NEP1" s="231"/>
      <c r="NEQ1" s="231"/>
      <c r="NER1" s="231"/>
      <c r="NES1" s="231"/>
      <c r="NET1" s="231"/>
      <c r="NEU1" s="231"/>
      <c r="NEV1" s="231"/>
      <c r="NEW1" s="231"/>
      <c r="NEX1" s="231"/>
      <c r="NEY1" s="231"/>
      <c r="NEZ1" s="231"/>
      <c r="NFA1" s="231"/>
      <c r="NFB1" s="231"/>
      <c r="NFC1" s="231"/>
      <c r="NFD1" s="231"/>
      <c r="NFE1" s="231"/>
      <c r="NFF1" s="231"/>
      <c r="NFG1" s="231"/>
      <c r="NFH1" s="231"/>
      <c r="NFI1" s="231"/>
      <c r="NFJ1" s="231"/>
      <c r="NFK1" s="231"/>
      <c r="NFL1" s="231"/>
      <c r="NFM1" s="231"/>
      <c r="NFN1" s="231"/>
      <c r="NFO1" s="231"/>
      <c r="NFP1" s="231"/>
      <c r="NFQ1" s="231"/>
      <c r="NFR1" s="231"/>
      <c r="NFS1" s="231"/>
      <c r="NFT1" s="231"/>
      <c r="NFU1" s="231"/>
      <c r="NFV1" s="231"/>
      <c r="NFW1" s="231"/>
      <c r="NFX1" s="231"/>
      <c r="NFY1" s="231"/>
      <c r="NFZ1" s="231"/>
      <c r="NGA1" s="231"/>
      <c r="NGB1" s="231"/>
      <c r="NGC1" s="231"/>
      <c r="NGD1" s="231"/>
      <c r="NGE1" s="231"/>
      <c r="NGF1" s="231"/>
      <c r="NGG1" s="231"/>
      <c r="NGH1" s="231"/>
      <c r="NGI1" s="231"/>
      <c r="NGJ1" s="231"/>
      <c r="NGK1" s="231"/>
      <c r="NGL1" s="231"/>
      <c r="NGM1" s="231"/>
      <c r="NGN1" s="231"/>
      <c r="NGO1" s="231"/>
      <c r="NGP1" s="231"/>
      <c r="NGQ1" s="231"/>
      <c r="NGR1" s="231"/>
      <c r="NGS1" s="231"/>
      <c r="NGT1" s="231"/>
      <c r="NGU1" s="231"/>
      <c r="NGV1" s="231"/>
      <c r="NGW1" s="231"/>
      <c r="NGX1" s="231"/>
      <c r="NGY1" s="231"/>
      <c r="NGZ1" s="231"/>
      <c r="NHA1" s="231"/>
      <c r="NHB1" s="231"/>
      <c r="NHC1" s="231"/>
      <c r="NHD1" s="231"/>
      <c r="NHE1" s="231"/>
      <c r="NHF1" s="231"/>
      <c r="NHG1" s="231"/>
      <c r="NHH1" s="231"/>
      <c r="NHI1" s="231"/>
      <c r="NHJ1" s="231"/>
      <c r="NHK1" s="231"/>
      <c r="NHL1" s="231"/>
      <c r="NHM1" s="231"/>
      <c r="NHN1" s="231"/>
      <c r="NHO1" s="231"/>
      <c r="NHP1" s="231"/>
      <c r="NHQ1" s="231"/>
      <c r="NHR1" s="231"/>
      <c r="NHS1" s="231"/>
      <c r="NHT1" s="231"/>
      <c r="NHU1" s="231"/>
      <c r="NHV1" s="231"/>
      <c r="NHW1" s="231"/>
      <c r="NHX1" s="231"/>
      <c r="NHY1" s="231"/>
      <c r="NHZ1" s="231"/>
      <c r="NIA1" s="231"/>
      <c r="NIB1" s="231"/>
      <c r="NIC1" s="231"/>
      <c r="NID1" s="231"/>
      <c r="NIE1" s="231"/>
      <c r="NIF1" s="231"/>
      <c r="NIG1" s="231"/>
      <c r="NIH1" s="231"/>
      <c r="NII1" s="231"/>
      <c r="NIJ1" s="231"/>
      <c r="NIK1" s="231"/>
      <c r="NIL1" s="231"/>
      <c r="NIM1" s="231"/>
      <c r="NIN1" s="231"/>
      <c r="NIO1" s="231"/>
      <c r="NIP1" s="231"/>
      <c r="NIQ1" s="231"/>
      <c r="NIR1" s="231"/>
      <c r="NIS1" s="231"/>
      <c r="NIT1" s="231"/>
      <c r="NIU1" s="231"/>
      <c r="NIV1" s="231"/>
      <c r="NIW1" s="231"/>
      <c r="NIX1" s="231"/>
      <c r="NIY1" s="231"/>
      <c r="NIZ1" s="231"/>
      <c r="NJA1" s="231"/>
      <c r="NJB1" s="231"/>
      <c r="NJC1" s="231"/>
      <c r="NJD1" s="231"/>
      <c r="NJE1" s="231"/>
      <c r="NJF1" s="231"/>
      <c r="NJG1" s="231"/>
      <c r="NJH1" s="231"/>
      <c r="NJI1" s="231"/>
      <c r="NJJ1" s="231"/>
      <c r="NJK1" s="231"/>
      <c r="NJL1" s="231"/>
      <c r="NJM1" s="231"/>
      <c r="NJN1" s="231"/>
      <c r="NJO1" s="231"/>
      <c r="NJP1" s="231"/>
      <c r="NJQ1" s="231"/>
      <c r="NJR1" s="231"/>
      <c r="NJS1" s="231"/>
      <c r="NJT1" s="231"/>
      <c r="NJU1" s="231"/>
      <c r="NJV1" s="231"/>
      <c r="NJW1" s="231"/>
      <c r="NJX1" s="231"/>
      <c r="NJY1" s="231"/>
      <c r="NJZ1" s="231"/>
      <c r="NKA1" s="231"/>
      <c r="NKB1" s="231"/>
      <c r="NKC1" s="231"/>
      <c r="NKD1" s="231"/>
      <c r="NKE1" s="231"/>
      <c r="NKF1" s="231"/>
      <c r="NKG1" s="231"/>
      <c r="NKH1" s="231"/>
      <c r="NKI1" s="231"/>
      <c r="NKJ1" s="231"/>
      <c r="NKK1" s="231"/>
      <c r="NKL1" s="231"/>
      <c r="NKM1" s="231"/>
      <c r="NKN1" s="231"/>
      <c r="NKO1" s="231"/>
      <c r="NKP1" s="231"/>
      <c r="NKQ1" s="231"/>
      <c r="NKR1" s="231"/>
      <c r="NKS1" s="231"/>
      <c r="NKT1" s="231"/>
      <c r="NKU1" s="231"/>
      <c r="NKV1" s="231"/>
      <c r="NKW1" s="231"/>
      <c r="NKX1" s="231"/>
      <c r="NKY1" s="231"/>
      <c r="NKZ1" s="231"/>
      <c r="NLA1" s="231"/>
      <c r="NLB1" s="231"/>
      <c r="NLC1" s="231"/>
      <c r="NLD1" s="231"/>
      <c r="NLE1" s="231"/>
      <c r="NLF1" s="231"/>
      <c r="NLG1" s="231"/>
      <c r="NLH1" s="231"/>
      <c r="NLI1" s="231"/>
      <c r="NLJ1" s="231"/>
      <c r="NLK1" s="231"/>
      <c r="NLL1" s="231"/>
      <c r="NLM1" s="231"/>
      <c r="NLN1" s="231"/>
      <c r="NLO1" s="231"/>
      <c r="NLP1" s="231"/>
      <c r="NLQ1" s="231"/>
      <c r="NLR1" s="231"/>
      <c r="NLS1" s="231"/>
      <c r="NLT1" s="231"/>
      <c r="NLU1" s="231"/>
      <c r="NLV1" s="231"/>
      <c r="NLW1" s="231"/>
      <c r="NLX1" s="231"/>
      <c r="NLY1" s="231"/>
      <c r="NLZ1" s="231"/>
      <c r="NMA1" s="231"/>
      <c r="NMB1" s="231"/>
      <c r="NMC1" s="231"/>
      <c r="NMD1" s="231"/>
      <c r="NME1" s="231"/>
      <c r="NMF1" s="231"/>
      <c r="NMG1" s="231"/>
      <c r="NMH1" s="231"/>
      <c r="NMI1" s="231"/>
      <c r="NMJ1" s="231"/>
      <c r="NMK1" s="231"/>
      <c r="NML1" s="231"/>
      <c r="NMM1" s="231"/>
      <c r="NMN1" s="231"/>
      <c r="NMO1" s="231"/>
      <c r="NMP1" s="231"/>
      <c r="NMQ1" s="231"/>
      <c r="NMR1" s="231"/>
      <c r="NMS1" s="231"/>
      <c r="NMT1" s="231"/>
      <c r="NMU1" s="231"/>
      <c r="NMV1" s="231"/>
      <c r="NMW1" s="231"/>
      <c r="NMX1" s="231"/>
      <c r="NMY1" s="231"/>
      <c r="NMZ1" s="231"/>
      <c r="NNA1" s="231"/>
      <c r="NNB1" s="231"/>
      <c r="NNC1" s="231"/>
      <c r="NND1" s="231"/>
      <c r="NNE1" s="231"/>
      <c r="NNF1" s="231"/>
      <c r="NNG1" s="231"/>
      <c r="NNH1" s="231"/>
      <c r="NNI1" s="231"/>
      <c r="NNJ1" s="231"/>
      <c r="NNK1" s="231"/>
      <c r="NNL1" s="231"/>
      <c r="NNM1" s="231"/>
      <c r="NNN1" s="231"/>
      <c r="NNO1" s="231"/>
      <c r="NNP1" s="231"/>
      <c r="NNQ1" s="231"/>
      <c r="NNR1" s="231"/>
      <c r="NNS1" s="231"/>
      <c r="NNT1" s="231"/>
      <c r="NNU1" s="231"/>
      <c r="NNV1" s="231"/>
      <c r="NNW1" s="231"/>
      <c r="NNX1" s="231"/>
      <c r="NNY1" s="231"/>
      <c r="NNZ1" s="231"/>
      <c r="NOA1" s="231"/>
      <c r="NOB1" s="231"/>
      <c r="NOC1" s="231"/>
      <c r="NOD1" s="231"/>
      <c r="NOE1" s="231"/>
      <c r="NOF1" s="231"/>
      <c r="NOG1" s="231"/>
      <c r="NOH1" s="231"/>
      <c r="NOI1" s="231"/>
      <c r="NOJ1" s="231"/>
      <c r="NOK1" s="231"/>
      <c r="NOL1" s="231"/>
      <c r="NOM1" s="231"/>
      <c r="NON1" s="231"/>
      <c r="NOO1" s="231"/>
      <c r="NOP1" s="231"/>
      <c r="NOQ1" s="231"/>
      <c r="NOR1" s="231"/>
      <c r="NOS1" s="231"/>
      <c r="NOT1" s="231"/>
      <c r="NOU1" s="231"/>
      <c r="NOV1" s="231"/>
      <c r="NOW1" s="231"/>
      <c r="NOX1" s="231"/>
      <c r="NOY1" s="231"/>
      <c r="NOZ1" s="231"/>
      <c r="NPA1" s="231"/>
      <c r="NPB1" s="231"/>
      <c r="NPC1" s="231"/>
      <c r="NPD1" s="231"/>
      <c r="NPE1" s="231"/>
      <c r="NPF1" s="231"/>
      <c r="NPG1" s="231"/>
      <c r="NPH1" s="231"/>
      <c r="NPI1" s="231"/>
      <c r="NPJ1" s="231"/>
      <c r="NPK1" s="231"/>
      <c r="NPL1" s="231"/>
      <c r="NPM1" s="231"/>
      <c r="NPN1" s="231"/>
      <c r="NPO1" s="231"/>
      <c r="NPP1" s="231"/>
      <c r="NPQ1" s="231"/>
      <c r="NPR1" s="231"/>
      <c r="NPS1" s="231"/>
      <c r="NPT1" s="231"/>
      <c r="NPU1" s="231"/>
      <c r="NPV1" s="231"/>
      <c r="NPW1" s="231"/>
      <c r="NPX1" s="231"/>
      <c r="NPY1" s="231"/>
      <c r="NPZ1" s="231"/>
      <c r="NQA1" s="231"/>
      <c r="NQB1" s="231"/>
      <c r="NQC1" s="231"/>
      <c r="NQD1" s="231"/>
      <c r="NQE1" s="231"/>
      <c r="NQF1" s="231"/>
      <c r="NQG1" s="231"/>
      <c r="NQH1" s="231"/>
      <c r="NQI1" s="231"/>
      <c r="NQJ1" s="231"/>
      <c r="NQK1" s="231"/>
      <c r="NQL1" s="231"/>
      <c r="NQM1" s="231"/>
      <c r="NQN1" s="231"/>
      <c r="NQO1" s="231"/>
      <c r="NQP1" s="231"/>
      <c r="NQQ1" s="231"/>
      <c r="NQR1" s="231"/>
      <c r="NQS1" s="231"/>
      <c r="NQT1" s="231"/>
      <c r="NQU1" s="231"/>
      <c r="NQV1" s="231"/>
      <c r="NQW1" s="231"/>
      <c r="NQX1" s="231"/>
      <c r="NQY1" s="231"/>
      <c r="NQZ1" s="231"/>
      <c r="NRA1" s="231"/>
      <c r="NRB1" s="231"/>
      <c r="NRC1" s="231"/>
      <c r="NRD1" s="231"/>
      <c r="NRE1" s="231"/>
      <c r="NRF1" s="231"/>
      <c r="NRG1" s="231"/>
      <c r="NRH1" s="231"/>
      <c r="NRI1" s="231"/>
      <c r="NRJ1" s="231"/>
      <c r="NRK1" s="231"/>
      <c r="NRL1" s="231"/>
      <c r="NRM1" s="231"/>
      <c r="NRN1" s="231"/>
      <c r="NRO1" s="231"/>
      <c r="NRP1" s="231"/>
      <c r="NRQ1" s="231"/>
      <c r="NRR1" s="231"/>
      <c r="NRS1" s="231"/>
      <c r="NRT1" s="231"/>
      <c r="NRU1" s="231"/>
      <c r="NRV1" s="231"/>
      <c r="NRW1" s="231"/>
      <c r="NRX1" s="231"/>
      <c r="NRY1" s="231"/>
      <c r="NRZ1" s="231"/>
      <c r="NSA1" s="231"/>
      <c r="NSB1" s="231"/>
      <c r="NSC1" s="231"/>
      <c r="NSD1" s="231"/>
      <c r="NSE1" s="231"/>
      <c r="NSF1" s="231"/>
      <c r="NSG1" s="231"/>
      <c r="NSH1" s="231"/>
      <c r="NSI1" s="231"/>
      <c r="NSJ1" s="231"/>
      <c r="NSK1" s="231"/>
      <c r="NSL1" s="231"/>
      <c r="NSM1" s="231"/>
      <c r="NSN1" s="231"/>
      <c r="NSO1" s="231"/>
      <c r="NSP1" s="231"/>
      <c r="NSQ1" s="231"/>
      <c r="NSR1" s="231"/>
      <c r="NSS1" s="231"/>
      <c r="NST1" s="231"/>
      <c r="NSU1" s="231"/>
      <c r="NSV1" s="231"/>
      <c r="NSW1" s="231"/>
      <c r="NSX1" s="231"/>
      <c r="NSY1" s="231"/>
      <c r="NSZ1" s="231"/>
      <c r="NTA1" s="231"/>
      <c r="NTB1" s="231"/>
      <c r="NTC1" s="231"/>
      <c r="NTD1" s="231"/>
      <c r="NTE1" s="231"/>
      <c r="NTF1" s="231"/>
      <c r="NTG1" s="231"/>
      <c r="NTH1" s="231"/>
      <c r="NTI1" s="231"/>
      <c r="NTJ1" s="231"/>
      <c r="NTK1" s="231"/>
      <c r="NTL1" s="231"/>
      <c r="NTM1" s="231"/>
      <c r="NTN1" s="231"/>
      <c r="NTO1" s="231"/>
      <c r="NTP1" s="231"/>
      <c r="NTQ1" s="231"/>
      <c r="NTR1" s="231"/>
      <c r="NTS1" s="231"/>
      <c r="NTT1" s="231"/>
      <c r="NTU1" s="231"/>
      <c r="NTV1" s="231"/>
      <c r="NTW1" s="231"/>
      <c r="NTX1" s="231"/>
      <c r="NTY1" s="231"/>
      <c r="NTZ1" s="231"/>
      <c r="NUA1" s="231"/>
      <c r="NUB1" s="231"/>
      <c r="NUC1" s="231"/>
      <c r="NUD1" s="231"/>
      <c r="NUE1" s="231"/>
      <c r="NUF1" s="231"/>
      <c r="NUG1" s="231"/>
      <c r="NUH1" s="231"/>
      <c r="NUI1" s="231"/>
      <c r="NUJ1" s="231"/>
      <c r="NUK1" s="231"/>
      <c r="NUL1" s="231"/>
      <c r="NUM1" s="231"/>
      <c r="NUN1" s="231"/>
      <c r="NUO1" s="231"/>
      <c r="NUP1" s="231"/>
      <c r="NUQ1" s="231"/>
      <c r="NUR1" s="231"/>
      <c r="NUS1" s="231"/>
      <c r="NUT1" s="231"/>
      <c r="NUU1" s="231"/>
      <c r="NUV1" s="231"/>
      <c r="NUW1" s="231"/>
      <c r="NUX1" s="231"/>
      <c r="NUY1" s="231"/>
      <c r="NUZ1" s="231"/>
      <c r="NVA1" s="231"/>
      <c r="NVB1" s="231"/>
      <c r="NVC1" s="231"/>
      <c r="NVD1" s="231"/>
      <c r="NVE1" s="231"/>
      <c r="NVF1" s="231"/>
      <c r="NVG1" s="231"/>
      <c r="NVH1" s="231"/>
      <c r="NVI1" s="231"/>
      <c r="NVJ1" s="231"/>
      <c r="NVK1" s="231"/>
      <c r="NVL1" s="231"/>
      <c r="NVM1" s="231"/>
      <c r="NVN1" s="231"/>
      <c r="NVO1" s="231"/>
      <c r="NVP1" s="231"/>
      <c r="NVQ1" s="231"/>
      <c r="NVR1" s="231"/>
      <c r="NVS1" s="231"/>
      <c r="NVT1" s="231"/>
      <c r="NVU1" s="231"/>
      <c r="NVV1" s="231"/>
      <c r="NVW1" s="231"/>
      <c r="NVX1" s="231"/>
      <c r="NVY1" s="231"/>
      <c r="NVZ1" s="231"/>
      <c r="NWA1" s="231"/>
      <c r="NWB1" s="231"/>
      <c r="NWC1" s="231"/>
      <c r="NWD1" s="231"/>
      <c r="NWE1" s="231"/>
      <c r="NWF1" s="231"/>
      <c r="NWG1" s="231"/>
      <c r="NWH1" s="231"/>
      <c r="NWI1" s="231"/>
      <c r="NWJ1" s="231"/>
      <c r="NWK1" s="231"/>
      <c r="NWL1" s="231"/>
      <c r="NWM1" s="231"/>
      <c r="NWN1" s="231"/>
      <c r="NWO1" s="231"/>
      <c r="NWP1" s="231"/>
      <c r="NWQ1" s="231"/>
      <c r="NWR1" s="231"/>
      <c r="NWS1" s="231"/>
      <c r="NWT1" s="231"/>
      <c r="NWU1" s="231"/>
      <c r="NWV1" s="231"/>
      <c r="NWW1" s="231"/>
      <c r="NWX1" s="231"/>
      <c r="NWY1" s="231"/>
      <c r="NWZ1" s="231"/>
      <c r="NXA1" s="231"/>
      <c r="NXB1" s="231"/>
      <c r="NXC1" s="231"/>
      <c r="NXD1" s="231"/>
      <c r="NXE1" s="231"/>
      <c r="NXF1" s="231"/>
      <c r="NXG1" s="231"/>
      <c r="NXH1" s="231"/>
      <c r="NXI1" s="231"/>
      <c r="NXJ1" s="231"/>
      <c r="NXK1" s="231"/>
      <c r="NXL1" s="231"/>
      <c r="NXM1" s="231"/>
      <c r="NXN1" s="231"/>
      <c r="NXO1" s="231"/>
      <c r="NXP1" s="231"/>
      <c r="NXQ1" s="231"/>
      <c r="NXR1" s="231"/>
      <c r="NXS1" s="231"/>
      <c r="NXT1" s="231"/>
      <c r="NXU1" s="231"/>
      <c r="NXV1" s="231"/>
      <c r="NXW1" s="231"/>
      <c r="NXX1" s="231"/>
      <c r="NXY1" s="231"/>
      <c r="NXZ1" s="231"/>
      <c r="NYA1" s="231"/>
      <c r="NYB1" s="231"/>
      <c r="NYC1" s="231"/>
      <c r="NYD1" s="231"/>
      <c r="NYE1" s="231"/>
      <c r="NYF1" s="231"/>
      <c r="NYG1" s="231"/>
      <c r="NYH1" s="231"/>
      <c r="NYI1" s="231"/>
      <c r="NYJ1" s="231"/>
      <c r="NYK1" s="231"/>
      <c r="NYL1" s="231"/>
      <c r="NYM1" s="231"/>
      <c r="NYN1" s="231"/>
      <c r="NYO1" s="231"/>
      <c r="NYP1" s="231"/>
      <c r="NYQ1" s="231"/>
      <c r="NYR1" s="231"/>
      <c r="NYS1" s="231"/>
      <c r="NYT1" s="231"/>
      <c r="NYU1" s="231"/>
      <c r="NYV1" s="231"/>
      <c r="NYW1" s="231"/>
      <c r="NYX1" s="231"/>
      <c r="NYY1" s="231"/>
      <c r="NYZ1" s="231"/>
      <c r="NZA1" s="231"/>
      <c r="NZB1" s="231"/>
      <c r="NZC1" s="231"/>
      <c r="NZD1" s="231"/>
      <c r="NZE1" s="231"/>
      <c r="NZF1" s="231"/>
      <c r="NZG1" s="231"/>
      <c r="NZH1" s="231"/>
      <c r="NZI1" s="231"/>
      <c r="NZJ1" s="231"/>
      <c r="NZK1" s="231"/>
      <c r="NZL1" s="231"/>
      <c r="NZM1" s="231"/>
      <c r="NZN1" s="231"/>
      <c r="NZO1" s="231"/>
      <c r="NZP1" s="231"/>
      <c r="NZQ1" s="231"/>
      <c r="NZR1" s="231"/>
      <c r="NZS1" s="231"/>
      <c r="NZT1" s="231"/>
      <c r="NZU1" s="231"/>
      <c r="NZV1" s="231"/>
      <c r="NZW1" s="231"/>
      <c r="NZX1" s="231"/>
      <c r="NZY1" s="231"/>
      <c r="NZZ1" s="231"/>
      <c r="OAA1" s="231"/>
      <c r="OAB1" s="231"/>
      <c r="OAC1" s="231"/>
      <c r="OAD1" s="231"/>
      <c r="OAE1" s="231"/>
      <c r="OAF1" s="231"/>
      <c r="OAG1" s="231"/>
      <c r="OAH1" s="231"/>
      <c r="OAI1" s="231"/>
      <c r="OAJ1" s="231"/>
      <c r="OAK1" s="231"/>
      <c r="OAL1" s="231"/>
      <c r="OAM1" s="231"/>
      <c r="OAN1" s="231"/>
      <c r="OAO1" s="231"/>
      <c r="OAP1" s="231"/>
      <c r="OAQ1" s="231"/>
      <c r="OAR1" s="231"/>
      <c r="OAS1" s="231"/>
      <c r="OAT1" s="231"/>
      <c r="OAU1" s="231"/>
      <c r="OAV1" s="231"/>
      <c r="OAW1" s="231"/>
      <c r="OAX1" s="231"/>
      <c r="OAY1" s="231"/>
      <c r="OAZ1" s="231"/>
      <c r="OBA1" s="231"/>
      <c r="OBB1" s="231"/>
      <c r="OBC1" s="231"/>
      <c r="OBD1" s="231"/>
      <c r="OBE1" s="231"/>
      <c r="OBF1" s="231"/>
      <c r="OBG1" s="231"/>
      <c r="OBH1" s="231"/>
      <c r="OBI1" s="231"/>
      <c r="OBJ1" s="231"/>
      <c r="OBK1" s="231"/>
      <c r="OBL1" s="231"/>
      <c r="OBM1" s="231"/>
      <c r="OBN1" s="231"/>
      <c r="OBO1" s="231"/>
      <c r="OBP1" s="231"/>
      <c r="OBQ1" s="231"/>
      <c r="OBR1" s="231"/>
      <c r="OBS1" s="231"/>
      <c r="OBT1" s="231"/>
      <c r="OBU1" s="231"/>
      <c r="OBV1" s="231"/>
      <c r="OBW1" s="231"/>
      <c r="OBX1" s="231"/>
      <c r="OBY1" s="231"/>
      <c r="OBZ1" s="231"/>
      <c r="OCA1" s="231"/>
      <c r="OCB1" s="231"/>
      <c r="OCC1" s="231"/>
      <c r="OCD1" s="231"/>
      <c r="OCE1" s="231"/>
      <c r="OCF1" s="231"/>
      <c r="OCG1" s="231"/>
      <c r="OCH1" s="231"/>
      <c r="OCI1" s="231"/>
      <c r="OCJ1" s="231"/>
      <c r="OCK1" s="231"/>
      <c r="OCL1" s="231"/>
      <c r="OCM1" s="231"/>
      <c r="OCN1" s="231"/>
      <c r="OCO1" s="231"/>
      <c r="OCP1" s="231"/>
      <c r="OCQ1" s="231"/>
      <c r="OCR1" s="231"/>
      <c r="OCS1" s="231"/>
      <c r="OCT1" s="231"/>
      <c r="OCU1" s="231"/>
      <c r="OCV1" s="231"/>
      <c r="OCW1" s="231"/>
      <c r="OCX1" s="231"/>
      <c r="OCY1" s="231"/>
      <c r="OCZ1" s="231"/>
      <c r="ODA1" s="231"/>
      <c r="ODB1" s="231"/>
      <c r="ODC1" s="231"/>
      <c r="ODD1" s="231"/>
      <c r="ODE1" s="231"/>
      <c r="ODF1" s="231"/>
      <c r="ODG1" s="231"/>
      <c r="ODH1" s="231"/>
      <c r="ODI1" s="231"/>
      <c r="ODJ1" s="231"/>
      <c r="ODK1" s="231"/>
      <c r="ODL1" s="231"/>
      <c r="ODM1" s="231"/>
      <c r="ODN1" s="231"/>
      <c r="ODO1" s="231"/>
      <c r="ODP1" s="231"/>
      <c r="ODQ1" s="231"/>
      <c r="ODR1" s="231"/>
      <c r="ODS1" s="231"/>
      <c r="ODT1" s="231"/>
      <c r="ODU1" s="231"/>
      <c r="ODV1" s="231"/>
      <c r="ODW1" s="231"/>
      <c r="ODX1" s="231"/>
      <c r="ODY1" s="231"/>
      <c r="ODZ1" s="231"/>
      <c r="OEA1" s="231"/>
      <c r="OEB1" s="231"/>
      <c r="OEC1" s="231"/>
      <c r="OED1" s="231"/>
      <c r="OEE1" s="231"/>
      <c r="OEF1" s="231"/>
      <c r="OEG1" s="231"/>
      <c r="OEH1" s="231"/>
      <c r="OEI1" s="231"/>
      <c r="OEJ1" s="231"/>
      <c r="OEK1" s="231"/>
      <c r="OEL1" s="231"/>
      <c r="OEM1" s="231"/>
      <c r="OEN1" s="231"/>
      <c r="OEO1" s="231"/>
      <c r="OEP1" s="231"/>
      <c r="OEQ1" s="231"/>
      <c r="OER1" s="231"/>
      <c r="OES1" s="231"/>
      <c r="OET1" s="231"/>
      <c r="OEU1" s="231"/>
      <c r="OEV1" s="231"/>
      <c r="OEW1" s="231"/>
      <c r="OEX1" s="231"/>
      <c r="OEY1" s="231"/>
      <c r="OEZ1" s="231"/>
      <c r="OFA1" s="231"/>
      <c r="OFB1" s="231"/>
      <c r="OFC1" s="231"/>
      <c r="OFD1" s="231"/>
      <c r="OFE1" s="231"/>
      <c r="OFF1" s="231"/>
      <c r="OFG1" s="231"/>
      <c r="OFH1" s="231"/>
      <c r="OFI1" s="231"/>
      <c r="OFJ1" s="231"/>
      <c r="OFK1" s="231"/>
      <c r="OFL1" s="231"/>
      <c r="OFM1" s="231"/>
      <c r="OFN1" s="231"/>
      <c r="OFO1" s="231"/>
      <c r="OFP1" s="231"/>
      <c r="OFQ1" s="231"/>
      <c r="OFR1" s="231"/>
      <c r="OFS1" s="231"/>
      <c r="OFT1" s="231"/>
      <c r="OFU1" s="231"/>
      <c r="OFV1" s="231"/>
      <c r="OFW1" s="231"/>
      <c r="OFX1" s="231"/>
      <c r="OFY1" s="231"/>
      <c r="OFZ1" s="231"/>
      <c r="OGA1" s="231"/>
      <c r="OGB1" s="231"/>
      <c r="OGC1" s="231"/>
      <c r="OGD1" s="231"/>
      <c r="OGE1" s="231"/>
      <c r="OGF1" s="231"/>
      <c r="OGG1" s="231"/>
      <c r="OGH1" s="231"/>
      <c r="OGI1" s="231"/>
      <c r="OGJ1" s="231"/>
      <c r="OGK1" s="231"/>
      <c r="OGL1" s="231"/>
      <c r="OGM1" s="231"/>
      <c r="OGN1" s="231"/>
      <c r="OGO1" s="231"/>
      <c r="OGP1" s="231"/>
      <c r="OGQ1" s="231"/>
      <c r="OGR1" s="231"/>
      <c r="OGS1" s="231"/>
      <c r="OGT1" s="231"/>
      <c r="OGU1" s="231"/>
      <c r="OGV1" s="231"/>
      <c r="OGW1" s="231"/>
      <c r="OGX1" s="231"/>
      <c r="OGY1" s="231"/>
      <c r="OGZ1" s="231"/>
      <c r="OHA1" s="231"/>
      <c r="OHB1" s="231"/>
      <c r="OHC1" s="231"/>
      <c r="OHD1" s="231"/>
      <c r="OHE1" s="231"/>
      <c r="OHF1" s="231"/>
      <c r="OHG1" s="231"/>
      <c r="OHH1" s="231"/>
      <c r="OHI1" s="231"/>
      <c r="OHJ1" s="231"/>
      <c r="OHK1" s="231"/>
      <c r="OHL1" s="231"/>
      <c r="OHM1" s="231"/>
      <c r="OHN1" s="231"/>
      <c r="OHO1" s="231"/>
      <c r="OHP1" s="231"/>
      <c r="OHQ1" s="231"/>
      <c r="OHR1" s="231"/>
      <c r="OHS1" s="231"/>
      <c r="OHT1" s="231"/>
      <c r="OHU1" s="231"/>
      <c r="OHV1" s="231"/>
      <c r="OHW1" s="231"/>
      <c r="OHX1" s="231"/>
      <c r="OHY1" s="231"/>
      <c r="OHZ1" s="231"/>
      <c r="OIA1" s="231"/>
      <c r="OIB1" s="231"/>
      <c r="OIC1" s="231"/>
      <c r="OID1" s="231"/>
      <c r="OIE1" s="231"/>
      <c r="OIF1" s="231"/>
      <c r="OIG1" s="231"/>
      <c r="OIH1" s="231"/>
      <c r="OII1" s="231"/>
      <c r="OIJ1" s="231"/>
      <c r="OIK1" s="231"/>
      <c r="OIL1" s="231"/>
      <c r="OIM1" s="231"/>
      <c r="OIN1" s="231"/>
      <c r="OIO1" s="231"/>
      <c r="OIP1" s="231"/>
      <c r="OIQ1" s="231"/>
      <c r="OIR1" s="231"/>
      <c r="OIS1" s="231"/>
      <c r="OIT1" s="231"/>
      <c r="OIU1" s="231"/>
      <c r="OIV1" s="231"/>
      <c r="OIW1" s="231"/>
      <c r="OIX1" s="231"/>
      <c r="OIY1" s="231"/>
      <c r="OIZ1" s="231"/>
      <c r="OJA1" s="231"/>
      <c r="OJB1" s="231"/>
      <c r="OJC1" s="231"/>
      <c r="OJD1" s="231"/>
      <c r="OJE1" s="231"/>
      <c r="OJF1" s="231"/>
      <c r="OJG1" s="231"/>
      <c r="OJH1" s="231"/>
      <c r="OJI1" s="231"/>
      <c r="OJJ1" s="231"/>
      <c r="OJK1" s="231"/>
      <c r="OJL1" s="231"/>
      <c r="OJM1" s="231"/>
      <c r="OJN1" s="231"/>
      <c r="OJO1" s="231"/>
      <c r="OJP1" s="231"/>
      <c r="OJQ1" s="231"/>
      <c r="OJR1" s="231"/>
      <c r="OJS1" s="231"/>
      <c r="OJT1" s="231"/>
      <c r="OJU1" s="231"/>
      <c r="OJV1" s="231"/>
      <c r="OJW1" s="231"/>
      <c r="OJX1" s="231"/>
      <c r="OJY1" s="231"/>
      <c r="OJZ1" s="231"/>
      <c r="OKA1" s="231"/>
      <c r="OKB1" s="231"/>
      <c r="OKC1" s="231"/>
      <c r="OKD1" s="231"/>
      <c r="OKE1" s="231"/>
      <c r="OKF1" s="231"/>
      <c r="OKG1" s="231"/>
      <c r="OKH1" s="231"/>
      <c r="OKI1" s="231"/>
      <c r="OKJ1" s="231"/>
      <c r="OKK1" s="231"/>
      <c r="OKL1" s="231"/>
      <c r="OKM1" s="231"/>
      <c r="OKN1" s="231"/>
      <c r="OKO1" s="231"/>
      <c r="OKP1" s="231"/>
      <c r="OKQ1" s="231"/>
      <c r="OKR1" s="231"/>
      <c r="OKS1" s="231"/>
      <c r="OKT1" s="231"/>
      <c r="OKU1" s="231"/>
      <c r="OKV1" s="231"/>
      <c r="OKW1" s="231"/>
      <c r="OKX1" s="231"/>
      <c r="OKY1" s="231"/>
      <c r="OKZ1" s="231"/>
      <c r="OLA1" s="231"/>
      <c r="OLB1" s="231"/>
      <c r="OLC1" s="231"/>
      <c r="OLD1" s="231"/>
      <c r="OLE1" s="231"/>
      <c r="OLF1" s="231"/>
      <c r="OLG1" s="231"/>
      <c r="OLH1" s="231"/>
      <c r="OLI1" s="231"/>
      <c r="OLJ1" s="231"/>
      <c r="OLK1" s="231"/>
      <c r="OLL1" s="231"/>
      <c r="OLM1" s="231"/>
      <c r="OLN1" s="231"/>
      <c r="OLO1" s="231"/>
      <c r="OLP1" s="231"/>
      <c r="OLQ1" s="231"/>
      <c r="OLR1" s="231"/>
      <c r="OLS1" s="231"/>
      <c r="OLT1" s="231"/>
      <c r="OLU1" s="231"/>
      <c r="OLV1" s="231"/>
      <c r="OLW1" s="231"/>
      <c r="OLX1" s="231"/>
      <c r="OLY1" s="231"/>
      <c r="OLZ1" s="231"/>
      <c r="OMA1" s="231"/>
      <c r="OMB1" s="231"/>
      <c r="OMC1" s="231"/>
      <c r="OMD1" s="231"/>
      <c r="OME1" s="231"/>
      <c r="OMF1" s="231"/>
      <c r="OMG1" s="231"/>
      <c r="OMH1" s="231"/>
      <c r="OMI1" s="231"/>
      <c r="OMJ1" s="231"/>
      <c r="OMK1" s="231"/>
      <c r="OML1" s="231"/>
      <c r="OMM1" s="231"/>
      <c r="OMN1" s="231"/>
      <c r="OMO1" s="231"/>
      <c r="OMP1" s="231"/>
      <c r="OMQ1" s="231"/>
      <c r="OMR1" s="231"/>
      <c r="OMS1" s="231"/>
      <c r="OMT1" s="231"/>
      <c r="OMU1" s="231"/>
      <c r="OMV1" s="231"/>
      <c r="OMW1" s="231"/>
      <c r="OMX1" s="231"/>
      <c r="OMY1" s="231"/>
      <c r="OMZ1" s="231"/>
      <c r="ONA1" s="231"/>
      <c r="ONB1" s="231"/>
      <c r="ONC1" s="231"/>
      <c r="OND1" s="231"/>
      <c r="ONE1" s="231"/>
      <c r="ONF1" s="231"/>
      <c r="ONG1" s="231"/>
      <c r="ONH1" s="231"/>
      <c r="ONI1" s="231"/>
      <c r="ONJ1" s="231"/>
      <c r="ONK1" s="231"/>
      <c r="ONL1" s="231"/>
      <c r="ONM1" s="231"/>
      <c r="ONN1" s="231"/>
      <c r="ONO1" s="231"/>
      <c r="ONP1" s="231"/>
      <c r="ONQ1" s="231"/>
      <c r="ONR1" s="231"/>
      <c r="ONS1" s="231"/>
      <c r="ONT1" s="231"/>
      <c r="ONU1" s="231"/>
      <c r="ONV1" s="231"/>
      <c r="ONW1" s="231"/>
      <c r="ONX1" s="231"/>
      <c r="ONY1" s="231"/>
      <c r="ONZ1" s="231"/>
      <c r="OOA1" s="231"/>
      <c r="OOB1" s="231"/>
      <c r="OOC1" s="231"/>
      <c r="OOD1" s="231"/>
      <c r="OOE1" s="231"/>
      <c r="OOF1" s="231"/>
      <c r="OOG1" s="231"/>
      <c r="OOH1" s="231"/>
      <c r="OOI1" s="231"/>
      <c r="OOJ1" s="231"/>
      <c r="OOK1" s="231"/>
      <c r="OOL1" s="231"/>
      <c r="OOM1" s="231"/>
      <c r="OON1" s="231"/>
      <c r="OOO1" s="231"/>
      <c r="OOP1" s="231"/>
      <c r="OOQ1" s="231"/>
      <c r="OOR1" s="231"/>
      <c r="OOS1" s="231"/>
      <c r="OOT1" s="231"/>
      <c r="OOU1" s="231"/>
      <c r="OOV1" s="231"/>
      <c r="OOW1" s="231"/>
      <c r="OOX1" s="231"/>
      <c r="OOY1" s="231"/>
      <c r="OOZ1" s="231"/>
      <c r="OPA1" s="231"/>
      <c r="OPB1" s="231"/>
      <c r="OPC1" s="231"/>
      <c r="OPD1" s="231"/>
      <c r="OPE1" s="231"/>
      <c r="OPF1" s="231"/>
      <c r="OPG1" s="231"/>
      <c r="OPH1" s="231"/>
      <c r="OPI1" s="231"/>
      <c r="OPJ1" s="231"/>
      <c r="OPK1" s="231"/>
      <c r="OPL1" s="231"/>
      <c r="OPM1" s="231"/>
      <c r="OPN1" s="231"/>
      <c r="OPO1" s="231"/>
      <c r="OPP1" s="231"/>
      <c r="OPQ1" s="231"/>
      <c r="OPR1" s="231"/>
      <c r="OPS1" s="231"/>
      <c r="OPT1" s="231"/>
      <c r="OPU1" s="231"/>
      <c r="OPV1" s="231"/>
      <c r="OPW1" s="231"/>
      <c r="OPX1" s="231"/>
      <c r="OPY1" s="231"/>
      <c r="OPZ1" s="231"/>
      <c r="OQA1" s="231"/>
      <c r="OQB1" s="231"/>
      <c r="OQC1" s="231"/>
      <c r="OQD1" s="231"/>
      <c r="OQE1" s="231"/>
      <c r="OQF1" s="231"/>
      <c r="OQG1" s="231"/>
      <c r="OQH1" s="231"/>
      <c r="OQI1" s="231"/>
      <c r="OQJ1" s="231"/>
      <c r="OQK1" s="231"/>
      <c r="OQL1" s="231"/>
      <c r="OQM1" s="231"/>
      <c r="OQN1" s="231"/>
      <c r="OQO1" s="231"/>
      <c r="OQP1" s="231"/>
      <c r="OQQ1" s="231"/>
      <c r="OQR1" s="231"/>
      <c r="OQS1" s="231"/>
      <c r="OQT1" s="231"/>
      <c r="OQU1" s="231"/>
      <c r="OQV1" s="231"/>
      <c r="OQW1" s="231"/>
      <c r="OQX1" s="231"/>
      <c r="OQY1" s="231"/>
      <c r="OQZ1" s="231"/>
      <c r="ORA1" s="231"/>
      <c r="ORB1" s="231"/>
      <c r="ORC1" s="231"/>
      <c r="ORD1" s="231"/>
      <c r="ORE1" s="231"/>
      <c r="ORF1" s="231"/>
      <c r="ORG1" s="231"/>
      <c r="ORH1" s="231"/>
      <c r="ORI1" s="231"/>
      <c r="ORJ1" s="231"/>
      <c r="ORK1" s="231"/>
      <c r="ORL1" s="231"/>
      <c r="ORM1" s="231"/>
      <c r="ORN1" s="231"/>
      <c r="ORO1" s="231"/>
      <c r="ORP1" s="231"/>
      <c r="ORQ1" s="231"/>
      <c r="ORR1" s="231"/>
      <c r="ORS1" s="231"/>
      <c r="ORT1" s="231"/>
      <c r="ORU1" s="231"/>
      <c r="ORV1" s="231"/>
      <c r="ORW1" s="231"/>
      <c r="ORX1" s="231"/>
      <c r="ORY1" s="231"/>
      <c r="ORZ1" s="231"/>
      <c r="OSA1" s="231"/>
      <c r="OSB1" s="231"/>
      <c r="OSC1" s="231"/>
      <c r="OSD1" s="231"/>
      <c r="OSE1" s="231"/>
      <c r="OSF1" s="231"/>
      <c r="OSG1" s="231"/>
      <c r="OSH1" s="231"/>
      <c r="OSI1" s="231"/>
      <c r="OSJ1" s="231"/>
      <c r="OSK1" s="231"/>
      <c r="OSL1" s="231"/>
      <c r="OSM1" s="231"/>
      <c r="OSN1" s="231"/>
      <c r="OSO1" s="231"/>
      <c r="OSP1" s="231"/>
      <c r="OSQ1" s="231"/>
      <c r="OSR1" s="231"/>
      <c r="OSS1" s="231"/>
      <c r="OST1" s="231"/>
      <c r="OSU1" s="231"/>
      <c r="OSV1" s="231"/>
      <c r="OSW1" s="231"/>
      <c r="OSX1" s="231"/>
      <c r="OSY1" s="231"/>
      <c r="OSZ1" s="231"/>
      <c r="OTA1" s="231"/>
      <c r="OTB1" s="231"/>
      <c r="OTC1" s="231"/>
      <c r="OTD1" s="231"/>
      <c r="OTE1" s="231"/>
      <c r="OTF1" s="231"/>
      <c r="OTG1" s="231"/>
      <c r="OTH1" s="231"/>
      <c r="OTI1" s="231"/>
      <c r="OTJ1" s="231"/>
      <c r="OTK1" s="231"/>
      <c r="OTL1" s="231"/>
      <c r="OTM1" s="231"/>
      <c r="OTN1" s="231"/>
      <c r="OTO1" s="231"/>
      <c r="OTP1" s="231"/>
      <c r="OTQ1" s="231"/>
      <c r="OTR1" s="231"/>
      <c r="OTS1" s="231"/>
      <c r="OTT1" s="231"/>
      <c r="OTU1" s="231"/>
      <c r="OTV1" s="231"/>
      <c r="OTW1" s="231"/>
      <c r="OTX1" s="231"/>
      <c r="OTY1" s="231"/>
      <c r="OTZ1" s="231"/>
      <c r="OUA1" s="231"/>
      <c r="OUB1" s="231"/>
      <c r="OUC1" s="231"/>
      <c r="OUD1" s="231"/>
      <c r="OUE1" s="231"/>
      <c r="OUF1" s="231"/>
      <c r="OUG1" s="231"/>
      <c r="OUH1" s="231"/>
      <c r="OUI1" s="231"/>
      <c r="OUJ1" s="231"/>
      <c r="OUK1" s="231"/>
      <c r="OUL1" s="231"/>
      <c r="OUM1" s="231"/>
      <c r="OUN1" s="231"/>
      <c r="OUO1" s="231"/>
      <c r="OUP1" s="231"/>
      <c r="OUQ1" s="231"/>
      <c r="OUR1" s="231"/>
      <c r="OUS1" s="231"/>
      <c r="OUT1" s="231"/>
      <c r="OUU1" s="231"/>
      <c r="OUV1" s="231"/>
      <c r="OUW1" s="231"/>
      <c r="OUX1" s="231"/>
      <c r="OUY1" s="231"/>
      <c r="OUZ1" s="231"/>
      <c r="OVA1" s="231"/>
      <c r="OVB1" s="231"/>
      <c r="OVC1" s="231"/>
      <c r="OVD1" s="231"/>
      <c r="OVE1" s="231"/>
      <c r="OVF1" s="231"/>
      <c r="OVG1" s="231"/>
      <c r="OVH1" s="231"/>
      <c r="OVI1" s="231"/>
      <c r="OVJ1" s="231"/>
      <c r="OVK1" s="231"/>
      <c r="OVL1" s="231"/>
      <c r="OVM1" s="231"/>
      <c r="OVN1" s="231"/>
      <c r="OVO1" s="231"/>
      <c r="OVP1" s="231"/>
      <c r="OVQ1" s="231"/>
      <c r="OVR1" s="231"/>
      <c r="OVS1" s="231"/>
      <c r="OVT1" s="231"/>
      <c r="OVU1" s="231"/>
      <c r="OVV1" s="231"/>
      <c r="OVW1" s="231"/>
      <c r="OVX1" s="231"/>
      <c r="OVY1" s="231"/>
      <c r="OVZ1" s="231"/>
      <c r="OWA1" s="231"/>
      <c r="OWB1" s="231"/>
      <c r="OWC1" s="231"/>
      <c r="OWD1" s="231"/>
      <c r="OWE1" s="231"/>
      <c r="OWF1" s="231"/>
      <c r="OWG1" s="231"/>
      <c r="OWH1" s="231"/>
      <c r="OWI1" s="231"/>
      <c r="OWJ1" s="231"/>
      <c r="OWK1" s="231"/>
      <c r="OWL1" s="231"/>
      <c r="OWM1" s="231"/>
      <c r="OWN1" s="231"/>
      <c r="OWO1" s="231"/>
      <c r="OWP1" s="231"/>
      <c r="OWQ1" s="231"/>
      <c r="OWR1" s="231"/>
      <c r="OWS1" s="231"/>
      <c r="OWT1" s="231"/>
      <c r="OWU1" s="231"/>
      <c r="OWV1" s="231"/>
      <c r="OWW1" s="231"/>
      <c r="OWX1" s="231"/>
      <c r="OWY1" s="231"/>
      <c r="OWZ1" s="231"/>
      <c r="OXA1" s="231"/>
      <c r="OXB1" s="231"/>
      <c r="OXC1" s="231"/>
      <c r="OXD1" s="231"/>
      <c r="OXE1" s="231"/>
      <c r="OXF1" s="231"/>
      <c r="OXG1" s="231"/>
      <c r="OXH1" s="231"/>
      <c r="OXI1" s="231"/>
      <c r="OXJ1" s="231"/>
      <c r="OXK1" s="231"/>
      <c r="OXL1" s="231"/>
      <c r="OXM1" s="231"/>
      <c r="OXN1" s="231"/>
      <c r="OXO1" s="231"/>
      <c r="OXP1" s="231"/>
      <c r="OXQ1" s="231"/>
      <c r="OXR1" s="231"/>
      <c r="OXS1" s="231"/>
      <c r="OXT1" s="231"/>
      <c r="OXU1" s="231"/>
      <c r="OXV1" s="231"/>
      <c r="OXW1" s="231"/>
      <c r="OXX1" s="231"/>
      <c r="OXY1" s="231"/>
      <c r="OXZ1" s="231"/>
      <c r="OYA1" s="231"/>
      <c r="OYB1" s="231"/>
      <c r="OYC1" s="231"/>
      <c r="OYD1" s="231"/>
      <c r="OYE1" s="231"/>
      <c r="OYF1" s="231"/>
      <c r="OYG1" s="231"/>
      <c r="OYH1" s="231"/>
      <c r="OYI1" s="231"/>
      <c r="OYJ1" s="231"/>
      <c r="OYK1" s="231"/>
      <c r="OYL1" s="231"/>
      <c r="OYM1" s="231"/>
      <c r="OYN1" s="231"/>
      <c r="OYO1" s="231"/>
      <c r="OYP1" s="231"/>
      <c r="OYQ1" s="231"/>
      <c r="OYR1" s="231"/>
      <c r="OYS1" s="231"/>
      <c r="OYT1" s="231"/>
      <c r="OYU1" s="231"/>
      <c r="OYV1" s="231"/>
      <c r="OYW1" s="231"/>
      <c r="OYX1" s="231"/>
      <c r="OYY1" s="231"/>
      <c r="OYZ1" s="231"/>
      <c r="OZA1" s="231"/>
      <c r="OZB1" s="231"/>
      <c r="OZC1" s="231"/>
      <c r="OZD1" s="231"/>
      <c r="OZE1" s="231"/>
      <c r="OZF1" s="231"/>
      <c r="OZG1" s="231"/>
      <c r="OZH1" s="231"/>
      <c r="OZI1" s="231"/>
      <c r="OZJ1" s="231"/>
      <c r="OZK1" s="231"/>
      <c r="OZL1" s="231"/>
      <c r="OZM1" s="231"/>
      <c r="OZN1" s="231"/>
      <c r="OZO1" s="231"/>
      <c r="OZP1" s="231"/>
      <c r="OZQ1" s="231"/>
      <c r="OZR1" s="231"/>
      <c r="OZS1" s="231"/>
      <c r="OZT1" s="231"/>
      <c r="OZU1" s="231"/>
      <c r="OZV1" s="231"/>
      <c r="OZW1" s="231"/>
      <c r="OZX1" s="231"/>
      <c r="OZY1" s="231"/>
      <c r="OZZ1" s="231"/>
      <c r="PAA1" s="231"/>
      <c r="PAB1" s="231"/>
      <c r="PAC1" s="231"/>
      <c r="PAD1" s="231"/>
      <c r="PAE1" s="231"/>
      <c r="PAF1" s="231"/>
      <c r="PAG1" s="231"/>
      <c r="PAH1" s="231"/>
      <c r="PAI1" s="231"/>
      <c r="PAJ1" s="231"/>
      <c r="PAK1" s="231"/>
      <c r="PAL1" s="231"/>
      <c r="PAM1" s="231"/>
      <c r="PAN1" s="231"/>
      <c r="PAO1" s="231"/>
      <c r="PAP1" s="231"/>
      <c r="PAQ1" s="231"/>
      <c r="PAR1" s="231"/>
      <c r="PAS1" s="231"/>
      <c r="PAT1" s="231"/>
      <c r="PAU1" s="231"/>
      <c r="PAV1" s="231"/>
      <c r="PAW1" s="231"/>
      <c r="PAX1" s="231"/>
      <c r="PAY1" s="231"/>
      <c r="PAZ1" s="231"/>
      <c r="PBA1" s="231"/>
      <c r="PBB1" s="231"/>
      <c r="PBC1" s="231"/>
      <c r="PBD1" s="231"/>
      <c r="PBE1" s="231"/>
      <c r="PBF1" s="231"/>
      <c r="PBG1" s="231"/>
      <c r="PBH1" s="231"/>
      <c r="PBI1" s="231"/>
      <c r="PBJ1" s="231"/>
      <c r="PBK1" s="231"/>
      <c r="PBL1" s="231"/>
      <c r="PBM1" s="231"/>
      <c r="PBN1" s="231"/>
      <c r="PBO1" s="231"/>
      <c r="PBP1" s="231"/>
      <c r="PBQ1" s="231"/>
      <c r="PBR1" s="231"/>
      <c r="PBS1" s="231"/>
      <c r="PBT1" s="231"/>
      <c r="PBU1" s="231"/>
      <c r="PBV1" s="231"/>
      <c r="PBW1" s="231"/>
      <c r="PBX1" s="231"/>
      <c r="PBY1" s="231"/>
      <c r="PBZ1" s="231"/>
      <c r="PCA1" s="231"/>
      <c r="PCB1" s="231"/>
      <c r="PCC1" s="231"/>
      <c r="PCD1" s="231"/>
      <c r="PCE1" s="231"/>
      <c r="PCF1" s="231"/>
      <c r="PCG1" s="231"/>
      <c r="PCH1" s="231"/>
      <c r="PCI1" s="231"/>
      <c r="PCJ1" s="231"/>
      <c r="PCK1" s="231"/>
      <c r="PCL1" s="231"/>
      <c r="PCM1" s="231"/>
      <c r="PCN1" s="231"/>
      <c r="PCO1" s="231"/>
      <c r="PCP1" s="231"/>
      <c r="PCQ1" s="231"/>
      <c r="PCR1" s="231"/>
      <c r="PCS1" s="231"/>
      <c r="PCT1" s="231"/>
      <c r="PCU1" s="231"/>
      <c r="PCV1" s="231"/>
      <c r="PCW1" s="231"/>
      <c r="PCX1" s="231"/>
      <c r="PCY1" s="231"/>
      <c r="PCZ1" s="231"/>
      <c r="PDA1" s="231"/>
      <c r="PDB1" s="231"/>
      <c r="PDC1" s="231"/>
      <c r="PDD1" s="231"/>
      <c r="PDE1" s="231"/>
      <c r="PDF1" s="231"/>
      <c r="PDG1" s="231"/>
      <c r="PDH1" s="231"/>
      <c r="PDI1" s="231"/>
      <c r="PDJ1" s="231"/>
      <c r="PDK1" s="231"/>
      <c r="PDL1" s="231"/>
      <c r="PDM1" s="231"/>
      <c r="PDN1" s="231"/>
      <c r="PDO1" s="231"/>
      <c r="PDP1" s="231"/>
      <c r="PDQ1" s="231"/>
      <c r="PDR1" s="231"/>
      <c r="PDS1" s="231"/>
      <c r="PDT1" s="231"/>
      <c r="PDU1" s="231"/>
      <c r="PDV1" s="231"/>
      <c r="PDW1" s="231"/>
      <c r="PDX1" s="231"/>
      <c r="PDY1" s="231"/>
      <c r="PDZ1" s="231"/>
      <c r="PEA1" s="231"/>
      <c r="PEB1" s="231"/>
      <c r="PEC1" s="231"/>
      <c r="PED1" s="231"/>
      <c r="PEE1" s="231"/>
      <c r="PEF1" s="231"/>
      <c r="PEG1" s="231"/>
      <c r="PEH1" s="231"/>
      <c r="PEI1" s="231"/>
      <c r="PEJ1" s="231"/>
      <c r="PEK1" s="231"/>
      <c r="PEL1" s="231"/>
      <c r="PEM1" s="231"/>
      <c r="PEN1" s="231"/>
      <c r="PEO1" s="231"/>
      <c r="PEP1" s="231"/>
      <c r="PEQ1" s="231"/>
      <c r="PER1" s="231"/>
      <c r="PES1" s="231"/>
      <c r="PET1" s="231"/>
      <c r="PEU1" s="231"/>
      <c r="PEV1" s="231"/>
      <c r="PEW1" s="231"/>
      <c r="PEX1" s="231"/>
      <c r="PEY1" s="231"/>
      <c r="PEZ1" s="231"/>
      <c r="PFA1" s="231"/>
      <c r="PFB1" s="231"/>
      <c r="PFC1" s="231"/>
      <c r="PFD1" s="231"/>
      <c r="PFE1" s="231"/>
      <c r="PFF1" s="231"/>
      <c r="PFG1" s="231"/>
      <c r="PFH1" s="231"/>
      <c r="PFI1" s="231"/>
      <c r="PFJ1" s="231"/>
      <c r="PFK1" s="231"/>
      <c r="PFL1" s="231"/>
      <c r="PFM1" s="231"/>
      <c r="PFN1" s="231"/>
      <c r="PFO1" s="231"/>
      <c r="PFP1" s="231"/>
      <c r="PFQ1" s="231"/>
      <c r="PFR1" s="231"/>
      <c r="PFS1" s="231"/>
      <c r="PFT1" s="231"/>
      <c r="PFU1" s="231"/>
      <c r="PFV1" s="231"/>
      <c r="PFW1" s="231"/>
      <c r="PFX1" s="231"/>
      <c r="PFY1" s="231"/>
      <c r="PFZ1" s="231"/>
      <c r="PGA1" s="231"/>
      <c r="PGB1" s="231"/>
      <c r="PGC1" s="231"/>
      <c r="PGD1" s="231"/>
      <c r="PGE1" s="231"/>
      <c r="PGF1" s="231"/>
      <c r="PGG1" s="231"/>
      <c r="PGH1" s="231"/>
      <c r="PGI1" s="231"/>
      <c r="PGJ1" s="231"/>
      <c r="PGK1" s="231"/>
      <c r="PGL1" s="231"/>
      <c r="PGM1" s="231"/>
      <c r="PGN1" s="231"/>
      <c r="PGO1" s="231"/>
      <c r="PGP1" s="231"/>
      <c r="PGQ1" s="231"/>
      <c r="PGR1" s="231"/>
      <c r="PGS1" s="231"/>
      <c r="PGT1" s="231"/>
      <c r="PGU1" s="231"/>
      <c r="PGV1" s="231"/>
      <c r="PGW1" s="231"/>
      <c r="PGX1" s="231"/>
      <c r="PGY1" s="231"/>
      <c r="PGZ1" s="231"/>
      <c r="PHA1" s="231"/>
      <c r="PHB1" s="231"/>
      <c r="PHC1" s="231"/>
      <c r="PHD1" s="231"/>
      <c r="PHE1" s="231"/>
      <c r="PHF1" s="231"/>
      <c r="PHG1" s="231"/>
      <c r="PHH1" s="231"/>
      <c r="PHI1" s="231"/>
      <c r="PHJ1" s="231"/>
      <c r="PHK1" s="231"/>
      <c r="PHL1" s="231"/>
      <c r="PHM1" s="231"/>
      <c r="PHN1" s="231"/>
      <c r="PHO1" s="231"/>
      <c r="PHP1" s="231"/>
      <c r="PHQ1" s="231"/>
      <c r="PHR1" s="231"/>
      <c r="PHS1" s="231"/>
      <c r="PHT1" s="231"/>
      <c r="PHU1" s="231"/>
      <c r="PHV1" s="231"/>
      <c r="PHW1" s="231"/>
      <c r="PHX1" s="231"/>
      <c r="PHY1" s="231"/>
      <c r="PHZ1" s="231"/>
      <c r="PIA1" s="231"/>
      <c r="PIB1" s="231"/>
      <c r="PIC1" s="231"/>
      <c r="PID1" s="231"/>
      <c r="PIE1" s="231"/>
      <c r="PIF1" s="231"/>
      <c r="PIG1" s="231"/>
      <c r="PIH1" s="231"/>
      <c r="PII1" s="231"/>
      <c r="PIJ1" s="231"/>
      <c r="PIK1" s="231"/>
      <c r="PIL1" s="231"/>
      <c r="PIM1" s="231"/>
      <c r="PIN1" s="231"/>
      <c r="PIO1" s="231"/>
      <c r="PIP1" s="231"/>
      <c r="PIQ1" s="231"/>
      <c r="PIR1" s="231"/>
      <c r="PIS1" s="231"/>
      <c r="PIT1" s="231"/>
      <c r="PIU1" s="231"/>
      <c r="PIV1" s="231"/>
      <c r="PIW1" s="231"/>
      <c r="PIX1" s="231"/>
      <c r="PIY1" s="231"/>
      <c r="PIZ1" s="231"/>
      <c r="PJA1" s="231"/>
      <c r="PJB1" s="231"/>
      <c r="PJC1" s="231"/>
      <c r="PJD1" s="231"/>
      <c r="PJE1" s="231"/>
      <c r="PJF1" s="231"/>
      <c r="PJG1" s="231"/>
      <c r="PJH1" s="231"/>
      <c r="PJI1" s="231"/>
      <c r="PJJ1" s="231"/>
      <c r="PJK1" s="231"/>
      <c r="PJL1" s="231"/>
      <c r="PJM1" s="231"/>
      <c r="PJN1" s="231"/>
      <c r="PJO1" s="231"/>
      <c r="PJP1" s="231"/>
      <c r="PJQ1" s="231"/>
      <c r="PJR1" s="231"/>
      <c r="PJS1" s="231"/>
      <c r="PJT1" s="231"/>
      <c r="PJU1" s="231"/>
      <c r="PJV1" s="231"/>
      <c r="PJW1" s="231"/>
      <c r="PJX1" s="231"/>
      <c r="PJY1" s="231"/>
      <c r="PJZ1" s="231"/>
      <c r="PKA1" s="231"/>
      <c r="PKB1" s="231"/>
      <c r="PKC1" s="231"/>
      <c r="PKD1" s="231"/>
      <c r="PKE1" s="231"/>
      <c r="PKF1" s="231"/>
      <c r="PKG1" s="231"/>
      <c r="PKH1" s="231"/>
      <c r="PKI1" s="231"/>
      <c r="PKJ1" s="231"/>
      <c r="PKK1" s="231"/>
      <c r="PKL1" s="231"/>
      <c r="PKM1" s="231"/>
      <c r="PKN1" s="231"/>
      <c r="PKO1" s="231"/>
      <c r="PKP1" s="231"/>
      <c r="PKQ1" s="231"/>
      <c r="PKR1" s="231"/>
      <c r="PKS1" s="231"/>
      <c r="PKT1" s="231"/>
      <c r="PKU1" s="231"/>
      <c r="PKV1" s="231"/>
      <c r="PKW1" s="231"/>
      <c r="PKX1" s="231"/>
      <c r="PKY1" s="231"/>
      <c r="PKZ1" s="231"/>
      <c r="PLA1" s="231"/>
      <c r="PLB1" s="231"/>
      <c r="PLC1" s="231"/>
      <c r="PLD1" s="231"/>
      <c r="PLE1" s="231"/>
      <c r="PLF1" s="231"/>
      <c r="PLG1" s="231"/>
      <c r="PLH1" s="231"/>
      <c r="PLI1" s="231"/>
      <c r="PLJ1" s="231"/>
      <c r="PLK1" s="231"/>
      <c r="PLL1" s="231"/>
      <c r="PLM1" s="231"/>
      <c r="PLN1" s="231"/>
      <c r="PLO1" s="231"/>
      <c r="PLP1" s="231"/>
      <c r="PLQ1" s="231"/>
      <c r="PLR1" s="231"/>
      <c r="PLS1" s="231"/>
      <c r="PLT1" s="231"/>
      <c r="PLU1" s="231"/>
      <c r="PLV1" s="231"/>
      <c r="PLW1" s="231"/>
      <c r="PLX1" s="231"/>
      <c r="PLY1" s="231"/>
      <c r="PLZ1" s="231"/>
      <c r="PMA1" s="231"/>
      <c r="PMB1" s="231"/>
      <c r="PMC1" s="231"/>
      <c r="PMD1" s="231"/>
      <c r="PME1" s="231"/>
      <c r="PMF1" s="231"/>
      <c r="PMG1" s="231"/>
      <c r="PMH1" s="231"/>
      <c r="PMI1" s="231"/>
      <c r="PMJ1" s="231"/>
      <c r="PMK1" s="231"/>
      <c r="PML1" s="231"/>
      <c r="PMM1" s="231"/>
      <c r="PMN1" s="231"/>
      <c r="PMO1" s="231"/>
      <c r="PMP1" s="231"/>
      <c r="PMQ1" s="231"/>
      <c r="PMR1" s="231"/>
      <c r="PMS1" s="231"/>
      <c r="PMT1" s="231"/>
      <c r="PMU1" s="231"/>
      <c r="PMV1" s="231"/>
      <c r="PMW1" s="231"/>
      <c r="PMX1" s="231"/>
      <c r="PMY1" s="231"/>
      <c r="PMZ1" s="231"/>
      <c r="PNA1" s="231"/>
      <c r="PNB1" s="231"/>
      <c r="PNC1" s="231"/>
      <c r="PND1" s="231"/>
      <c r="PNE1" s="231"/>
      <c r="PNF1" s="231"/>
      <c r="PNG1" s="231"/>
      <c r="PNH1" s="231"/>
      <c r="PNI1" s="231"/>
      <c r="PNJ1" s="231"/>
      <c r="PNK1" s="231"/>
      <c r="PNL1" s="231"/>
      <c r="PNM1" s="231"/>
      <c r="PNN1" s="231"/>
      <c r="PNO1" s="231"/>
      <c r="PNP1" s="231"/>
      <c r="PNQ1" s="231"/>
      <c r="PNR1" s="231"/>
      <c r="PNS1" s="231"/>
      <c r="PNT1" s="231"/>
      <c r="PNU1" s="231"/>
      <c r="PNV1" s="231"/>
      <c r="PNW1" s="231"/>
      <c r="PNX1" s="231"/>
      <c r="PNY1" s="231"/>
      <c r="PNZ1" s="231"/>
      <c r="POA1" s="231"/>
      <c r="POB1" s="231"/>
      <c r="POC1" s="231"/>
      <c r="POD1" s="231"/>
      <c r="POE1" s="231"/>
      <c r="POF1" s="231"/>
      <c r="POG1" s="231"/>
      <c r="POH1" s="231"/>
      <c r="POI1" s="231"/>
      <c r="POJ1" s="231"/>
      <c r="POK1" s="231"/>
      <c r="POL1" s="231"/>
      <c r="POM1" s="231"/>
      <c r="PON1" s="231"/>
      <c r="POO1" s="231"/>
      <c r="POP1" s="231"/>
      <c r="POQ1" s="231"/>
      <c r="POR1" s="231"/>
      <c r="POS1" s="231"/>
      <c r="POT1" s="231"/>
      <c r="POU1" s="231"/>
      <c r="POV1" s="231"/>
      <c r="POW1" s="231"/>
      <c r="POX1" s="231"/>
      <c r="POY1" s="231"/>
      <c r="POZ1" s="231"/>
      <c r="PPA1" s="231"/>
      <c r="PPB1" s="231"/>
      <c r="PPC1" s="231"/>
      <c r="PPD1" s="231"/>
      <c r="PPE1" s="231"/>
      <c r="PPF1" s="231"/>
      <c r="PPG1" s="231"/>
      <c r="PPH1" s="231"/>
      <c r="PPI1" s="231"/>
      <c r="PPJ1" s="231"/>
      <c r="PPK1" s="231"/>
      <c r="PPL1" s="231"/>
      <c r="PPM1" s="231"/>
      <c r="PPN1" s="231"/>
      <c r="PPO1" s="231"/>
      <c r="PPP1" s="231"/>
      <c r="PPQ1" s="231"/>
      <c r="PPR1" s="231"/>
      <c r="PPS1" s="231"/>
      <c r="PPT1" s="231"/>
      <c r="PPU1" s="231"/>
      <c r="PPV1" s="231"/>
      <c r="PPW1" s="231"/>
      <c r="PPX1" s="231"/>
      <c r="PPY1" s="231"/>
      <c r="PPZ1" s="231"/>
      <c r="PQA1" s="231"/>
      <c r="PQB1" s="231"/>
      <c r="PQC1" s="231"/>
      <c r="PQD1" s="231"/>
      <c r="PQE1" s="231"/>
      <c r="PQF1" s="231"/>
      <c r="PQG1" s="231"/>
      <c r="PQH1" s="231"/>
      <c r="PQI1" s="231"/>
      <c r="PQJ1" s="231"/>
      <c r="PQK1" s="231"/>
      <c r="PQL1" s="231"/>
      <c r="PQM1" s="231"/>
      <c r="PQN1" s="231"/>
      <c r="PQO1" s="231"/>
      <c r="PQP1" s="231"/>
      <c r="PQQ1" s="231"/>
      <c r="PQR1" s="231"/>
      <c r="PQS1" s="231"/>
      <c r="PQT1" s="231"/>
      <c r="PQU1" s="231"/>
      <c r="PQV1" s="231"/>
      <c r="PQW1" s="231"/>
      <c r="PQX1" s="231"/>
      <c r="PQY1" s="231"/>
      <c r="PQZ1" s="231"/>
      <c r="PRA1" s="231"/>
      <c r="PRB1" s="231"/>
      <c r="PRC1" s="231"/>
      <c r="PRD1" s="231"/>
      <c r="PRE1" s="231"/>
      <c r="PRF1" s="231"/>
      <c r="PRG1" s="231"/>
      <c r="PRH1" s="231"/>
      <c r="PRI1" s="231"/>
      <c r="PRJ1" s="231"/>
      <c r="PRK1" s="231"/>
      <c r="PRL1" s="231"/>
      <c r="PRM1" s="231"/>
      <c r="PRN1" s="231"/>
      <c r="PRO1" s="231"/>
      <c r="PRP1" s="231"/>
      <c r="PRQ1" s="231"/>
      <c r="PRR1" s="231"/>
      <c r="PRS1" s="231"/>
      <c r="PRT1" s="231"/>
      <c r="PRU1" s="231"/>
      <c r="PRV1" s="231"/>
      <c r="PRW1" s="231"/>
      <c r="PRX1" s="231"/>
      <c r="PRY1" s="231"/>
      <c r="PRZ1" s="231"/>
      <c r="PSA1" s="231"/>
      <c r="PSB1" s="231"/>
      <c r="PSC1" s="231"/>
      <c r="PSD1" s="231"/>
      <c r="PSE1" s="231"/>
      <c r="PSF1" s="231"/>
      <c r="PSG1" s="231"/>
      <c r="PSH1" s="231"/>
      <c r="PSI1" s="231"/>
      <c r="PSJ1" s="231"/>
      <c r="PSK1" s="231"/>
      <c r="PSL1" s="231"/>
      <c r="PSM1" s="231"/>
      <c r="PSN1" s="231"/>
      <c r="PSO1" s="231"/>
      <c r="PSP1" s="231"/>
      <c r="PSQ1" s="231"/>
      <c r="PSR1" s="231"/>
      <c r="PSS1" s="231"/>
      <c r="PST1" s="231"/>
      <c r="PSU1" s="231"/>
      <c r="PSV1" s="231"/>
      <c r="PSW1" s="231"/>
      <c r="PSX1" s="231"/>
      <c r="PSY1" s="231"/>
      <c r="PSZ1" s="231"/>
      <c r="PTA1" s="231"/>
      <c r="PTB1" s="231"/>
      <c r="PTC1" s="231"/>
      <c r="PTD1" s="231"/>
      <c r="PTE1" s="231"/>
      <c r="PTF1" s="231"/>
      <c r="PTG1" s="231"/>
      <c r="PTH1" s="231"/>
      <c r="PTI1" s="231"/>
      <c r="PTJ1" s="231"/>
      <c r="PTK1" s="231"/>
      <c r="PTL1" s="231"/>
      <c r="PTM1" s="231"/>
      <c r="PTN1" s="231"/>
      <c r="PTO1" s="231"/>
      <c r="PTP1" s="231"/>
      <c r="PTQ1" s="231"/>
      <c r="PTR1" s="231"/>
      <c r="PTS1" s="231"/>
      <c r="PTT1" s="231"/>
      <c r="PTU1" s="231"/>
      <c r="PTV1" s="231"/>
      <c r="PTW1" s="231"/>
      <c r="PTX1" s="231"/>
      <c r="PTY1" s="231"/>
      <c r="PTZ1" s="231"/>
      <c r="PUA1" s="231"/>
      <c r="PUB1" s="231"/>
      <c r="PUC1" s="231"/>
      <c r="PUD1" s="231"/>
      <c r="PUE1" s="231"/>
      <c r="PUF1" s="231"/>
      <c r="PUG1" s="231"/>
      <c r="PUH1" s="231"/>
      <c r="PUI1" s="231"/>
      <c r="PUJ1" s="231"/>
      <c r="PUK1" s="231"/>
      <c r="PUL1" s="231"/>
      <c r="PUM1" s="231"/>
      <c r="PUN1" s="231"/>
      <c r="PUO1" s="231"/>
      <c r="PUP1" s="231"/>
      <c r="PUQ1" s="231"/>
      <c r="PUR1" s="231"/>
      <c r="PUS1" s="231"/>
      <c r="PUT1" s="231"/>
      <c r="PUU1" s="231"/>
      <c r="PUV1" s="231"/>
      <c r="PUW1" s="231"/>
      <c r="PUX1" s="231"/>
      <c r="PUY1" s="231"/>
      <c r="PUZ1" s="231"/>
      <c r="PVA1" s="231"/>
      <c r="PVB1" s="231"/>
      <c r="PVC1" s="231"/>
      <c r="PVD1" s="231"/>
      <c r="PVE1" s="231"/>
      <c r="PVF1" s="231"/>
      <c r="PVG1" s="231"/>
      <c r="PVH1" s="231"/>
      <c r="PVI1" s="231"/>
      <c r="PVJ1" s="231"/>
      <c r="PVK1" s="231"/>
      <c r="PVL1" s="231"/>
      <c r="PVM1" s="231"/>
      <c r="PVN1" s="231"/>
      <c r="PVO1" s="231"/>
      <c r="PVP1" s="231"/>
      <c r="PVQ1" s="231"/>
      <c r="PVR1" s="231"/>
      <c r="PVS1" s="231"/>
      <c r="PVT1" s="231"/>
      <c r="PVU1" s="231"/>
      <c r="PVV1" s="231"/>
      <c r="PVW1" s="231"/>
      <c r="PVX1" s="231"/>
      <c r="PVY1" s="231"/>
      <c r="PVZ1" s="231"/>
      <c r="PWA1" s="231"/>
      <c r="PWB1" s="231"/>
      <c r="PWC1" s="231"/>
      <c r="PWD1" s="231"/>
      <c r="PWE1" s="231"/>
      <c r="PWF1" s="231"/>
      <c r="PWG1" s="231"/>
      <c r="PWH1" s="231"/>
      <c r="PWI1" s="231"/>
      <c r="PWJ1" s="231"/>
      <c r="PWK1" s="231"/>
      <c r="PWL1" s="231"/>
      <c r="PWM1" s="231"/>
      <c r="PWN1" s="231"/>
      <c r="PWO1" s="231"/>
      <c r="PWP1" s="231"/>
      <c r="PWQ1" s="231"/>
      <c r="PWR1" s="231"/>
      <c r="PWS1" s="231"/>
      <c r="PWT1" s="231"/>
      <c r="PWU1" s="231"/>
      <c r="PWV1" s="231"/>
      <c r="PWW1" s="231"/>
      <c r="PWX1" s="231"/>
      <c r="PWY1" s="231"/>
      <c r="PWZ1" s="231"/>
      <c r="PXA1" s="231"/>
      <c r="PXB1" s="231"/>
      <c r="PXC1" s="231"/>
      <c r="PXD1" s="231"/>
      <c r="PXE1" s="231"/>
      <c r="PXF1" s="231"/>
      <c r="PXG1" s="231"/>
      <c r="PXH1" s="231"/>
      <c r="PXI1" s="231"/>
      <c r="PXJ1" s="231"/>
      <c r="PXK1" s="231"/>
      <c r="PXL1" s="231"/>
      <c r="PXM1" s="231"/>
      <c r="PXN1" s="231"/>
      <c r="PXO1" s="231"/>
      <c r="PXP1" s="231"/>
      <c r="PXQ1" s="231"/>
      <c r="PXR1" s="231"/>
      <c r="PXS1" s="231"/>
      <c r="PXT1" s="231"/>
      <c r="PXU1" s="231"/>
      <c r="PXV1" s="231"/>
      <c r="PXW1" s="231"/>
      <c r="PXX1" s="231"/>
      <c r="PXY1" s="231"/>
      <c r="PXZ1" s="231"/>
      <c r="PYA1" s="231"/>
      <c r="PYB1" s="231"/>
      <c r="PYC1" s="231"/>
      <c r="PYD1" s="231"/>
      <c r="PYE1" s="231"/>
      <c r="PYF1" s="231"/>
      <c r="PYG1" s="231"/>
      <c r="PYH1" s="231"/>
      <c r="PYI1" s="231"/>
      <c r="PYJ1" s="231"/>
      <c r="PYK1" s="231"/>
      <c r="PYL1" s="231"/>
      <c r="PYM1" s="231"/>
      <c r="PYN1" s="231"/>
      <c r="PYO1" s="231"/>
      <c r="PYP1" s="231"/>
      <c r="PYQ1" s="231"/>
      <c r="PYR1" s="231"/>
      <c r="PYS1" s="231"/>
      <c r="PYT1" s="231"/>
      <c r="PYU1" s="231"/>
      <c r="PYV1" s="231"/>
      <c r="PYW1" s="231"/>
      <c r="PYX1" s="231"/>
      <c r="PYY1" s="231"/>
      <c r="PYZ1" s="231"/>
      <c r="PZA1" s="231"/>
      <c r="PZB1" s="231"/>
      <c r="PZC1" s="231"/>
      <c r="PZD1" s="231"/>
      <c r="PZE1" s="231"/>
      <c r="PZF1" s="231"/>
      <c r="PZG1" s="231"/>
      <c r="PZH1" s="231"/>
      <c r="PZI1" s="231"/>
      <c r="PZJ1" s="231"/>
      <c r="PZK1" s="231"/>
      <c r="PZL1" s="231"/>
      <c r="PZM1" s="231"/>
      <c r="PZN1" s="231"/>
      <c r="PZO1" s="231"/>
      <c r="PZP1" s="231"/>
      <c r="PZQ1" s="231"/>
      <c r="PZR1" s="231"/>
      <c r="PZS1" s="231"/>
      <c r="PZT1" s="231"/>
      <c r="PZU1" s="231"/>
      <c r="PZV1" s="231"/>
      <c r="PZW1" s="231"/>
      <c r="PZX1" s="231"/>
      <c r="PZY1" s="231"/>
      <c r="PZZ1" s="231"/>
      <c r="QAA1" s="231"/>
      <c r="QAB1" s="231"/>
      <c r="QAC1" s="231"/>
      <c r="QAD1" s="231"/>
      <c r="QAE1" s="231"/>
      <c r="QAF1" s="231"/>
      <c r="QAG1" s="231"/>
      <c r="QAH1" s="231"/>
      <c r="QAI1" s="231"/>
      <c r="QAJ1" s="231"/>
      <c r="QAK1" s="231"/>
      <c r="QAL1" s="231"/>
      <c r="QAM1" s="231"/>
      <c r="QAN1" s="231"/>
      <c r="QAO1" s="231"/>
      <c r="QAP1" s="231"/>
      <c r="QAQ1" s="231"/>
      <c r="QAR1" s="231"/>
      <c r="QAS1" s="231"/>
      <c r="QAT1" s="231"/>
      <c r="QAU1" s="231"/>
      <c r="QAV1" s="231"/>
      <c r="QAW1" s="231"/>
      <c r="QAX1" s="231"/>
      <c r="QAY1" s="231"/>
      <c r="QAZ1" s="231"/>
      <c r="QBA1" s="231"/>
      <c r="QBB1" s="231"/>
      <c r="QBC1" s="231"/>
      <c r="QBD1" s="231"/>
      <c r="QBE1" s="231"/>
      <c r="QBF1" s="231"/>
      <c r="QBG1" s="231"/>
      <c r="QBH1" s="231"/>
      <c r="QBI1" s="231"/>
      <c r="QBJ1" s="231"/>
      <c r="QBK1" s="231"/>
      <c r="QBL1" s="231"/>
      <c r="QBM1" s="231"/>
      <c r="QBN1" s="231"/>
      <c r="QBO1" s="231"/>
      <c r="QBP1" s="231"/>
      <c r="QBQ1" s="231"/>
      <c r="QBR1" s="231"/>
      <c r="QBS1" s="231"/>
      <c r="QBT1" s="231"/>
      <c r="QBU1" s="231"/>
      <c r="QBV1" s="231"/>
      <c r="QBW1" s="231"/>
      <c r="QBX1" s="231"/>
      <c r="QBY1" s="231"/>
      <c r="QBZ1" s="231"/>
      <c r="QCA1" s="231"/>
      <c r="QCB1" s="231"/>
      <c r="QCC1" s="231"/>
      <c r="QCD1" s="231"/>
      <c r="QCE1" s="231"/>
      <c r="QCF1" s="231"/>
      <c r="QCG1" s="231"/>
      <c r="QCH1" s="231"/>
      <c r="QCI1" s="231"/>
      <c r="QCJ1" s="231"/>
      <c r="QCK1" s="231"/>
      <c r="QCL1" s="231"/>
      <c r="QCM1" s="231"/>
      <c r="QCN1" s="231"/>
      <c r="QCO1" s="231"/>
      <c r="QCP1" s="231"/>
      <c r="QCQ1" s="231"/>
      <c r="QCR1" s="231"/>
      <c r="QCS1" s="231"/>
      <c r="QCT1" s="231"/>
      <c r="QCU1" s="231"/>
      <c r="QCV1" s="231"/>
      <c r="QCW1" s="231"/>
      <c r="QCX1" s="231"/>
      <c r="QCY1" s="231"/>
      <c r="QCZ1" s="231"/>
      <c r="QDA1" s="231"/>
      <c r="QDB1" s="231"/>
      <c r="QDC1" s="231"/>
      <c r="QDD1" s="231"/>
      <c r="QDE1" s="231"/>
      <c r="QDF1" s="231"/>
      <c r="QDG1" s="231"/>
      <c r="QDH1" s="231"/>
      <c r="QDI1" s="231"/>
      <c r="QDJ1" s="231"/>
      <c r="QDK1" s="231"/>
      <c r="QDL1" s="231"/>
      <c r="QDM1" s="231"/>
      <c r="QDN1" s="231"/>
      <c r="QDO1" s="231"/>
      <c r="QDP1" s="231"/>
      <c r="QDQ1" s="231"/>
      <c r="QDR1" s="231"/>
      <c r="QDS1" s="231"/>
      <c r="QDT1" s="231"/>
      <c r="QDU1" s="231"/>
      <c r="QDV1" s="231"/>
      <c r="QDW1" s="231"/>
      <c r="QDX1" s="231"/>
      <c r="QDY1" s="231"/>
      <c r="QDZ1" s="231"/>
      <c r="QEA1" s="231"/>
      <c r="QEB1" s="231"/>
      <c r="QEC1" s="231"/>
      <c r="QED1" s="231"/>
      <c r="QEE1" s="231"/>
      <c r="QEF1" s="231"/>
      <c r="QEG1" s="231"/>
      <c r="QEH1" s="231"/>
      <c r="QEI1" s="231"/>
      <c r="QEJ1" s="231"/>
      <c r="QEK1" s="231"/>
      <c r="QEL1" s="231"/>
      <c r="QEM1" s="231"/>
      <c r="QEN1" s="231"/>
      <c r="QEO1" s="231"/>
      <c r="QEP1" s="231"/>
      <c r="QEQ1" s="231"/>
      <c r="QER1" s="231"/>
      <c r="QES1" s="231"/>
      <c r="QET1" s="231"/>
      <c r="QEU1" s="231"/>
      <c r="QEV1" s="231"/>
      <c r="QEW1" s="231"/>
      <c r="QEX1" s="231"/>
      <c r="QEY1" s="231"/>
      <c r="QEZ1" s="231"/>
      <c r="QFA1" s="231"/>
      <c r="QFB1" s="231"/>
      <c r="QFC1" s="231"/>
      <c r="QFD1" s="231"/>
      <c r="QFE1" s="231"/>
      <c r="QFF1" s="231"/>
      <c r="QFG1" s="231"/>
      <c r="QFH1" s="231"/>
      <c r="QFI1" s="231"/>
      <c r="QFJ1" s="231"/>
      <c r="QFK1" s="231"/>
      <c r="QFL1" s="231"/>
      <c r="QFM1" s="231"/>
      <c r="QFN1" s="231"/>
      <c r="QFO1" s="231"/>
      <c r="QFP1" s="231"/>
      <c r="QFQ1" s="231"/>
      <c r="QFR1" s="231"/>
      <c r="QFS1" s="231"/>
      <c r="QFT1" s="231"/>
      <c r="QFU1" s="231"/>
      <c r="QFV1" s="231"/>
      <c r="QFW1" s="231"/>
      <c r="QFX1" s="231"/>
      <c r="QFY1" s="231"/>
      <c r="QFZ1" s="231"/>
      <c r="QGA1" s="231"/>
      <c r="QGB1" s="231"/>
      <c r="QGC1" s="231"/>
      <c r="QGD1" s="231"/>
      <c r="QGE1" s="231"/>
      <c r="QGF1" s="231"/>
      <c r="QGG1" s="231"/>
      <c r="QGH1" s="231"/>
      <c r="QGI1" s="231"/>
      <c r="QGJ1" s="231"/>
      <c r="QGK1" s="231"/>
      <c r="QGL1" s="231"/>
      <c r="QGM1" s="231"/>
      <c r="QGN1" s="231"/>
      <c r="QGO1" s="231"/>
      <c r="QGP1" s="231"/>
      <c r="QGQ1" s="231"/>
      <c r="QGR1" s="231"/>
      <c r="QGS1" s="231"/>
      <c r="QGT1" s="231"/>
      <c r="QGU1" s="231"/>
      <c r="QGV1" s="231"/>
      <c r="QGW1" s="231"/>
      <c r="QGX1" s="231"/>
      <c r="QGY1" s="231"/>
      <c r="QGZ1" s="231"/>
      <c r="QHA1" s="231"/>
      <c r="QHB1" s="231"/>
      <c r="QHC1" s="231"/>
      <c r="QHD1" s="231"/>
      <c r="QHE1" s="231"/>
      <c r="QHF1" s="231"/>
      <c r="QHG1" s="231"/>
      <c r="QHH1" s="231"/>
      <c r="QHI1" s="231"/>
      <c r="QHJ1" s="231"/>
      <c r="QHK1" s="231"/>
      <c r="QHL1" s="231"/>
      <c r="QHM1" s="231"/>
      <c r="QHN1" s="231"/>
      <c r="QHO1" s="231"/>
      <c r="QHP1" s="231"/>
      <c r="QHQ1" s="231"/>
      <c r="QHR1" s="231"/>
      <c r="QHS1" s="231"/>
      <c r="QHT1" s="231"/>
      <c r="QHU1" s="231"/>
      <c r="QHV1" s="231"/>
      <c r="QHW1" s="231"/>
      <c r="QHX1" s="231"/>
      <c r="QHY1" s="231"/>
      <c r="QHZ1" s="231"/>
      <c r="QIA1" s="231"/>
      <c r="QIB1" s="231"/>
      <c r="QIC1" s="231"/>
      <c r="QID1" s="231"/>
      <c r="QIE1" s="231"/>
      <c r="QIF1" s="231"/>
      <c r="QIG1" s="231"/>
      <c r="QIH1" s="231"/>
      <c r="QII1" s="231"/>
      <c r="QIJ1" s="231"/>
      <c r="QIK1" s="231"/>
      <c r="QIL1" s="231"/>
      <c r="QIM1" s="231"/>
      <c r="QIN1" s="231"/>
      <c r="QIO1" s="231"/>
      <c r="QIP1" s="231"/>
      <c r="QIQ1" s="231"/>
      <c r="QIR1" s="231"/>
      <c r="QIS1" s="231"/>
      <c r="QIT1" s="231"/>
      <c r="QIU1" s="231"/>
      <c r="QIV1" s="231"/>
      <c r="QIW1" s="231"/>
      <c r="QIX1" s="231"/>
      <c r="QIY1" s="231"/>
      <c r="QIZ1" s="231"/>
      <c r="QJA1" s="231"/>
      <c r="QJB1" s="231"/>
      <c r="QJC1" s="231"/>
      <c r="QJD1" s="231"/>
      <c r="QJE1" s="231"/>
      <c r="QJF1" s="231"/>
      <c r="QJG1" s="231"/>
      <c r="QJH1" s="231"/>
      <c r="QJI1" s="231"/>
      <c r="QJJ1" s="231"/>
      <c r="QJK1" s="231"/>
      <c r="QJL1" s="231"/>
      <c r="QJM1" s="231"/>
      <c r="QJN1" s="231"/>
      <c r="QJO1" s="231"/>
      <c r="QJP1" s="231"/>
      <c r="QJQ1" s="231"/>
      <c r="QJR1" s="231"/>
      <c r="QJS1" s="231"/>
      <c r="QJT1" s="231"/>
      <c r="QJU1" s="231"/>
      <c r="QJV1" s="231"/>
      <c r="QJW1" s="231"/>
      <c r="QJX1" s="231"/>
      <c r="QJY1" s="231"/>
      <c r="QJZ1" s="231"/>
      <c r="QKA1" s="231"/>
      <c r="QKB1" s="231"/>
      <c r="QKC1" s="231"/>
      <c r="QKD1" s="231"/>
      <c r="QKE1" s="231"/>
      <c r="QKF1" s="231"/>
      <c r="QKG1" s="231"/>
      <c r="QKH1" s="231"/>
      <c r="QKI1" s="231"/>
      <c r="QKJ1" s="231"/>
      <c r="QKK1" s="231"/>
      <c r="QKL1" s="231"/>
      <c r="QKM1" s="231"/>
      <c r="QKN1" s="231"/>
      <c r="QKO1" s="231"/>
      <c r="QKP1" s="231"/>
      <c r="QKQ1" s="231"/>
      <c r="QKR1" s="231"/>
      <c r="QKS1" s="231"/>
      <c r="QKT1" s="231"/>
      <c r="QKU1" s="231"/>
      <c r="QKV1" s="231"/>
      <c r="QKW1" s="231"/>
      <c r="QKX1" s="231"/>
      <c r="QKY1" s="231"/>
      <c r="QKZ1" s="231"/>
      <c r="QLA1" s="231"/>
      <c r="QLB1" s="231"/>
      <c r="QLC1" s="231"/>
      <c r="QLD1" s="231"/>
      <c r="QLE1" s="231"/>
      <c r="QLF1" s="231"/>
      <c r="QLG1" s="231"/>
      <c r="QLH1" s="231"/>
      <c r="QLI1" s="231"/>
      <c r="QLJ1" s="231"/>
      <c r="QLK1" s="231"/>
      <c r="QLL1" s="231"/>
      <c r="QLM1" s="231"/>
      <c r="QLN1" s="231"/>
      <c r="QLO1" s="231"/>
      <c r="QLP1" s="231"/>
      <c r="QLQ1" s="231"/>
      <c r="QLR1" s="231"/>
      <c r="QLS1" s="231"/>
      <c r="QLT1" s="231"/>
      <c r="QLU1" s="231"/>
      <c r="QLV1" s="231"/>
      <c r="QLW1" s="231"/>
      <c r="QLX1" s="231"/>
      <c r="QLY1" s="231"/>
      <c r="QLZ1" s="231"/>
      <c r="QMA1" s="231"/>
      <c r="QMB1" s="231"/>
      <c r="QMC1" s="231"/>
      <c r="QMD1" s="231"/>
      <c r="QME1" s="231"/>
      <c r="QMF1" s="231"/>
      <c r="QMG1" s="231"/>
      <c r="QMH1" s="231"/>
      <c r="QMI1" s="231"/>
      <c r="QMJ1" s="231"/>
      <c r="QMK1" s="231"/>
      <c r="QML1" s="231"/>
      <c r="QMM1" s="231"/>
      <c r="QMN1" s="231"/>
      <c r="QMO1" s="231"/>
      <c r="QMP1" s="231"/>
      <c r="QMQ1" s="231"/>
      <c r="QMR1" s="231"/>
      <c r="QMS1" s="231"/>
      <c r="QMT1" s="231"/>
      <c r="QMU1" s="231"/>
      <c r="QMV1" s="231"/>
      <c r="QMW1" s="231"/>
      <c r="QMX1" s="231"/>
      <c r="QMY1" s="231"/>
      <c r="QMZ1" s="231"/>
      <c r="QNA1" s="231"/>
      <c r="QNB1" s="231"/>
      <c r="QNC1" s="231"/>
      <c r="QND1" s="231"/>
      <c r="QNE1" s="231"/>
      <c r="QNF1" s="231"/>
      <c r="QNG1" s="231"/>
      <c r="QNH1" s="231"/>
      <c r="QNI1" s="231"/>
      <c r="QNJ1" s="231"/>
      <c r="QNK1" s="231"/>
      <c r="QNL1" s="231"/>
      <c r="QNM1" s="231"/>
      <c r="QNN1" s="231"/>
      <c r="QNO1" s="231"/>
      <c r="QNP1" s="231"/>
      <c r="QNQ1" s="231"/>
      <c r="QNR1" s="231"/>
      <c r="QNS1" s="231"/>
      <c r="QNT1" s="231"/>
      <c r="QNU1" s="231"/>
      <c r="QNV1" s="231"/>
      <c r="QNW1" s="231"/>
      <c r="QNX1" s="231"/>
      <c r="QNY1" s="231"/>
      <c r="QNZ1" s="231"/>
      <c r="QOA1" s="231"/>
      <c r="QOB1" s="231"/>
      <c r="QOC1" s="231"/>
      <c r="QOD1" s="231"/>
      <c r="QOE1" s="231"/>
      <c r="QOF1" s="231"/>
      <c r="QOG1" s="231"/>
      <c r="QOH1" s="231"/>
      <c r="QOI1" s="231"/>
      <c r="QOJ1" s="231"/>
      <c r="QOK1" s="231"/>
      <c r="QOL1" s="231"/>
      <c r="QOM1" s="231"/>
      <c r="QON1" s="231"/>
      <c r="QOO1" s="231"/>
      <c r="QOP1" s="231"/>
      <c r="QOQ1" s="231"/>
      <c r="QOR1" s="231"/>
      <c r="QOS1" s="231"/>
      <c r="QOT1" s="231"/>
      <c r="QOU1" s="231"/>
      <c r="QOV1" s="231"/>
      <c r="QOW1" s="231"/>
      <c r="QOX1" s="231"/>
      <c r="QOY1" s="231"/>
      <c r="QOZ1" s="231"/>
      <c r="QPA1" s="231"/>
      <c r="QPB1" s="231"/>
      <c r="QPC1" s="231"/>
      <c r="QPD1" s="231"/>
      <c r="QPE1" s="231"/>
      <c r="QPF1" s="231"/>
      <c r="QPG1" s="231"/>
      <c r="QPH1" s="231"/>
      <c r="QPI1" s="231"/>
      <c r="QPJ1" s="231"/>
      <c r="QPK1" s="231"/>
      <c r="QPL1" s="231"/>
      <c r="QPM1" s="231"/>
      <c r="QPN1" s="231"/>
      <c r="QPO1" s="231"/>
      <c r="QPP1" s="231"/>
      <c r="QPQ1" s="231"/>
      <c r="QPR1" s="231"/>
      <c r="QPS1" s="231"/>
      <c r="QPT1" s="231"/>
      <c r="QPU1" s="231"/>
      <c r="QPV1" s="231"/>
      <c r="QPW1" s="231"/>
      <c r="QPX1" s="231"/>
      <c r="QPY1" s="231"/>
      <c r="QPZ1" s="231"/>
      <c r="QQA1" s="231"/>
      <c r="QQB1" s="231"/>
      <c r="QQC1" s="231"/>
      <c r="QQD1" s="231"/>
      <c r="QQE1" s="231"/>
      <c r="QQF1" s="231"/>
      <c r="QQG1" s="231"/>
      <c r="QQH1" s="231"/>
      <c r="QQI1" s="231"/>
      <c r="QQJ1" s="231"/>
      <c r="QQK1" s="231"/>
      <c r="QQL1" s="231"/>
      <c r="QQM1" s="231"/>
      <c r="QQN1" s="231"/>
      <c r="QQO1" s="231"/>
      <c r="QQP1" s="231"/>
      <c r="QQQ1" s="231"/>
      <c r="QQR1" s="231"/>
      <c r="QQS1" s="231"/>
      <c r="QQT1" s="231"/>
      <c r="QQU1" s="231"/>
      <c r="QQV1" s="231"/>
      <c r="QQW1" s="231"/>
      <c r="QQX1" s="231"/>
      <c r="QQY1" s="231"/>
      <c r="QQZ1" s="231"/>
      <c r="QRA1" s="231"/>
      <c r="QRB1" s="231"/>
      <c r="QRC1" s="231"/>
      <c r="QRD1" s="231"/>
      <c r="QRE1" s="231"/>
      <c r="QRF1" s="231"/>
      <c r="QRG1" s="231"/>
      <c r="QRH1" s="231"/>
      <c r="QRI1" s="231"/>
      <c r="QRJ1" s="231"/>
      <c r="QRK1" s="231"/>
      <c r="QRL1" s="231"/>
      <c r="QRM1" s="231"/>
      <c r="QRN1" s="231"/>
      <c r="QRO1" s="231"/>
      <c r="QRP1" s="231"/>
      <c r="QRQ1" s="231"/>
      <c r="QRR1" s="231"/>
      <c r="QRS1" s="231"/>
      <c r="QRT1" s="231"/>
      <c r="QRU1" s="231"/>
      <c r="QRV1" s="231"/>
      <c r="QRW1" s="231"/>
      <c r="QRX1" s="231"/>
      <c r="QRY1" s="231"/>
      <c r="QRZ1" s="231"/>
      <c r="QSA1" s="231"/>
      <c r="QSB1" s="231"/>
      <c r="QSC1" s="231"/>
      <c r="QSD1" s="231"/>
      <c r="QSE1" s="231"/>
      <c r="QSF1" s="231"/>
      <c r="QSG1" s="231"/>
      <c r="QSH1" s="231"/>
      <c r="QSI1" s="231"/>
      <c r="QSJ1" s="231"/>
      <c r="QSK1" s="231"/>
      <c r="QSL1" s="231"/>
      <c r="QSM1" s="231"/>
      <c r="QSN1" s="231"/>
      <c r="QSO1" s="231"/>
      <c r="QSP1" s="231"/>
      <c r="QSQ1" s="231"/>
      <c r="QSR1" s="231"/>
      <c r="QSS1" s="231"/>
      <c r="QST1" s="231"/>
      <c r="QSU1" s="231"/>
      <c r="QSV1" s="231"/>
      <c r="QSW1" s="231"/>
      <c r="QSX1" s="231"/>
      <c r="QSY1" s="231"/>
      <c r="QSZ1" s="231"/>
      <c r="QTA1" s="231"/>
      <c r="QTB1" s="231"/>
      <c r="QTC1" s="231"/>
      <c r="QTD1" s="231"/>
      <c r="QTE1" s="231"/>
      <c r="QTF1" s="231"/>
      <c r="QTG1" s="231"/>
      <c r="QTH1" s="231"/>
      <c r="QTI1" s="231"/>
      <c r="QTJ1" s="231"/>
      <c r="QTK1" s="231"/>
      <c r="QTL1" s="231"/>
      <c r="QTM1" s="231"/>
      <c r="QTN1" s="231"/>
      <c r="QTO1" s="231"/>
      <c r="QTP1" s="231"/>
      <c r="QTQ1" s="231"/>
      <c r="QTR1" s="231"/>
      <c r="QTS1" s="231"/>
      <c r="QTT1" s="231"/>
      <c r="QTU1" s="231"/>
      <c r="QTV1" s="231"/>
      <c r="QTW1" s="231"/>
      <c r="QTX1" s="231"/>
      <c r="QTY1" s="231"/>
      <c r="QTZ1" s="231"/>
      <c r="QUA1" s="231"/>
      <c r="QUB1" s="231"/>
      <c r="QUC1" s="231"/>
      <c r="QUD1" s="231"/>
      <c r="QUE1" s="231"/>
      <c r="QUF1" s="231"/>
      <c r="QUG1" s="231"/>
      <c r="QUH1" s="231"/>
      <c r="QUI1" s="231"/>
      <c r="QUJ1" s="231"/>
      <c r="QUK1" s="231"/>
      <c r="QUL1" s="231"/>
      <c r="QUM1" s="231"/>
      <c r="QUN1" s="231"/>
      <c r="QUO1" s="231"/>
      <c r="QUP1" s="231"/>
      <c r="QUQ1" s="231"/>
      <c r="QUR1" s="231"/>
      <c r="QUS1" s="231"/>
      <c r="QUT1" s="231"/>
      <c r="QUU1" s="231"/>
      <c r="QUV1" s="231"/>
      <c r="QUW1" s="231"/>
      <c r="QUX1" s="231"/>
      <c r="QUY1" s="231"/>
      <c r="QUZ1" s="231"/>
      <c r="QVA1" s="231"/>
      <c r="QVB1" s="231"/>
      <c r="QVC1" s="231"/>
      <c r="QVD1" s="231"/>
      <c r="QVE1" s="231"/>
      <c r="QVF1" s="231"/>
      <c r="QVG1" s="231"/>
      <c r="QVH1" s="231"/>
      <c r="QVI1" s="231"/>
      <c r="QVJ1" s="231"/>
      <c r="QVK1" s="231"/>
      <c r="QVL1" s="231"/>
      <c r="QVM1" s="231"/>
      <c r="QVN1" s="231"/>
      <c r="QVO1" s="231"/>
      <c r="QVP1" s="231"/>
      <c r="QVQ1" s="231"/>
      <c r="QVR1" s="231"/>
      <c r="QVS1" s="231"/>
      <c r="QVT1" s="231"/>
      <c r="QVU1" s="231"/>
      <c r="QVV1" s="231"/>
      <c r="QVW1" s="231"/>
      <c r="QVX1" s="231"/>
      <c r="QVY1" s="231"/>
      <c r="QVZ1" s="231"/>
      <c r="QWA1" s="231"/>
      <c r="QWB1" s="231"/>
      <c r="QWC1" s="231"/>
      <c r="QWD1" s="231"/>
      <c r="QWE1" s="231"/>
      <c r="QWF1" s="231"/>
      <c r="QWG1" s="231"/>
      <c r="QWH1" s="231"/>
      <c r="QWI1" s="231"/>
      <c r="QWJ1" s="231"/>
      <c r="QWK1" s="231"/>
      <c r="QWL1" s="231"/>
      <c r="QWM1" s="231"/>
      <c r="QWN1" s="231"/>
      <c r="QWO1" s="231"/>
      <c r="QWP1" s="231"/>
      <c r="QWQ1" s="231"/>
      <c r="QWR1" s="231"/>
      <c r="QWS1" s="231"/>
      <c r="QWT1" s="231"/>
      <c r="QWU1" s="231"/>
      <c r="QWV1" s="231"/>
      <c r="QWW1" s="231"/>
      <c r="QWX1" s="231"/>
      <c r="QWY1" s="231"/>
      <c r="QWZ1" s="231"/>
      <c r="QXA1" s="231"/>
      <c r="QXB1" s="231"/>
      <c r="QXC1" s="231"/>
      <c r="QXD1" s="231"/>
      <c r="QXE1" s="231"/>
      <c r="QXF1" s="231"/>
      <c r="QXG1" s="231"/>
      <c r="QXH1" s="231"/>
      <c r="QXI1" s="231"/>
      <c r="QXJ1" s="231"/>
      <c r="QXK1" s="231"/>
      <c r="QXL1" s="231"/>
      <c r="QXM1" s="231"/>
      <c r="QXN1" s="231"/>
      <c r="QXO1" s="231"/>
      <c r="QXP1" s="231"/>
      <c r="QXQ1" s="231"/>
      <c r="QXR1" s="231"/>
      <c r="QXS1" s="231"/>
      <c r="QXT1" s="231"/>
      <c r="QXU1" s="231"/>
      <c r="QXV1" s="231"/>
      <c r="QXW1" s="231"/>
      <c r="QXX1" s="231"/>
      <c r="QXY1" s="231"/>
      <c r="QXZ1" s="231"/>
      <c r="QYA1" s="231"/>
      <c r="QYB1" s="231"/>
      <c r="QYC1" s="231"/>
      <c r="QYD1" s="231"/>
      <c r="QYE1" s="231"/>
      <c r="QYF1" s="231"/>
      <c r="QYG1" s="231"/>
      <c r="QYH1" s="231"/>
      <c r="QYI1" s="231"/>
      <c r="QYJ1" s="231"/>
      <c r="QYK1" s="231"/>
      <c r="QYL1" s="231"/>
      <c r="QYM1" s="231"/>
      <c r="QYN1" s="231"/>
      <c r="QYO1" s="231"/>
      <c r="QYP1" s="231"/>
      <c r="QYQ1" s="231"/>
      <c r="QYR1" s="231"/>
      <c r="QYS1" s="231"/>
      <c r="QYT1" s="231"/>
      <c r="QYU1" s="231"/>
      <c r="QYV1" s="231"/>
      <c r="QYW1" s="231"/>
      <c r="QYX1" s="231"/>
      <c r="QYY1" s="231"/>
      <c r="QYZ1" s="231"/>
      <c r="QZA1" s="231"/>
      <c r="QZB1" s="231"/>
      <c r="QZC1" s="231"/>
      <c r="QZD1" s="231"/>
      <c r="QZE1" s="231"/>
      <c r="QZF1" s="231"/>
      <c r="QZG1" s="231"/>
      <c r="QZH1" s="231"/>
      <c r="QZI1" s="231"/>
      <c r="QZJ1" s="231"/>
      <c r="QZK1" s="231"/>
      <c r="QZL1" s="231"/>
      <c r="QZM1" s="231"/>
      <c r="QZN1" s="231"/>
      <c r="QZO1" s="231"/>
      <c r="QZP1" s="231"/>
      <c r="QZQ1" s="231"/>
      <c r="QZR1" s="231"/>
      <c r="QZS1" s="231"/>
      <c r="QZT1" s="231"/>
      <c r="QZU1" s="231"/>
      <c r="QZV1" s="231"/>
      <c r="QZW1" s="231"/>
      <c r="QZX1" s="231"/>
      <c r="QZY1" s="231"/>
      <c r="QZZ1" s="231"/>
      <c r="RAA1" s="231"/>
      <c r="RAB1" s="231"/>
      <c r="RAC1" s="231"/>
      <c r="RAD1" s="231"/>
      <c r="RAE1" s="231"/>
      <c r="RAF1" s="231"/>
      <c r="RAG1" s="231"/>
      <c r="RAH1" s="231"/>
      <c r="RAI1" s="231"/>
      <c r="RAJ1" s="231"/>
      <c r="RAK1" s="231"/>
      <c r="RAL1" s="231"/>
      <c r="RAM1" s="231"/>
      <c r="RAN1" s="231"/>
      <c r="RAO1" s="231"/>
      <c r="RAP1" s="231"/>
      <c r="RAQ1" s="231"/>
      <c r="RAR1" s="231"/>
      <c r="RAS1" s="231"/>
      <c r="RAT1" s="231"/>
      <c r="RAU1" s="231"/>
      <c r="RAV1" s="231"/>
      <c r="RAW1" s="231"/>
      <c r="RAX1" s="231"/>
      <c r="RAY1" s="231"/>
      <c r="RAZ1" s="231"/>
      <c r="RBA1" s="231"/>
      <c r="RBB1" s="231"/>
      <c r="RBC1" s="231"/>
      <c r="RBD1" s="231"/>
      <c r="RBE1" s="231"/>
      <c r="RBF1" s="231"/>
      <c r="RBG1" s="231"/>
      <c r="RBH1" s="231"/>
      <c r="RBI1" s="231"/>
      <c r="RBJ1" s="231"/>
      <c r="RBK1" s="231"/>
      <c r="RBL1" s="231"/>
      <c r="RBM1" s="231"/>
      <c r="RBN1" s="231"/>
      <c r="RBO1" s="231"/>
      <c r="RBP1" s="231"/>
      <c r="RBQ1" s="231"/>
      <c r="RBR1" s="231"/>
      <c r="RBS1" s="231"/>
      <c r="RBT1" s="231"/>
      <c r="RBU1" s="231"/>
      <c r="RBV1" s="231"/>
      <c r="RBW1" s="231"/>
      <c r="RBX1" s="231"/>
      <c r="RBY1" s="231"/>
      <c r="RBZ1" s="231"/>
      <c r="RCA1" s="231"/>
      <c r="RCB1" s="231"/>
      <c r="RCC1" s="231"/>
      <c r="RCD1" s="231"/>
      <c r="RCE1" s="231"/>
      <c r="RCF1" s="231"/>
      <c r="RCG1" s="231"/>
      <c r="RCH1" s="231"/>
      <c r="RCI1" s="231"/>
      <c r="RCJ1" s="231"/>
      <c r="RCK1" s="231"/>
      <c r="RCL1" s="231"/>
      <c r="RCM1" s="231"/>
      <c r="RCN1" s="231"/>
      <c r="RCO1" s="231"/>
      <c r="RCP1" s="231"/>
      <c r="RCQ1" s="231"/>
      <c r="RCR1" s="231"/>
      <c r="RCS1" s="231"/>
      <c r="RCT1" s="231"/>
      <c r="RCU1" s="231"/>
      <c r="RCV1" s="231"/>
      <c r="RCW1" s="231"/>
      <c r="RCX1" s="231"/>
      <c r="RCY1" s="231"/>
      <c r="RCZ1" s="231"/>
      <c r="RDA1" s="231"/>
      <c r="RDB1" s="231"/>
      <c r="RDC1" s="231"/>
      <c r="RDD1" s="231"/>
      <c r="RDE1" s="231"/>
      <c r="RDF1" s="231"/>
      <c r="RDG1" s="231"/>
      <c r="RDH1" s="231"/>
      <c r="RDI1" s="231"/>
      <c r="RDJ1" s="231"/>
      <c r="RDK1" s="231"/>
      <c r="RDL1" s="231"/>
      <c r="RDM1" s="231"/>
      <c r="RDN1" s="231"/>
      <c r="RDO1" s="231"/>
      <c r="RDP1" s="231"/>
      <c r="RDQ1" s="231"/>
      <c r="RDR1" s="231"/>
      <c r="RDS1" s="231"/>
      <c r="RDT1" s="231"/>
      <c r="RDU1" s="231"/>
      <c r="RDV1" s="231"/>
      <c r="RDW1" s="231"/>
      <c r="RDX1" s="231"/>
      <c r="RDY1" s="231"/>
      <c r="RDZ1" s="231"/>
      <c r="REA1" s="231"/>
      <c r="REB1" s="231"/>
      <c r="REC1" s="231"/>
      <c r="RED1" s="231"/>
      <c r="REE1" s="231"/>
      <c r="REF1" s="231"/>
      <c r="REG1" s="231"/>
      <c r="REH1" s="231"/>
      <c r="REI1" s="231"/>
      <c r="REJ1" s="231"/>
      <c r="REK1" s="231"/>
      <c r="REL1" s="231"/>
      <c r="REM1" s="231"/>
      <c r="REN1" s="231"/>
      <c r="REO1" s="231"/>
      <c r="REP1" s="231"/>
      <c r="REQ1" s="231"/>
      <c r="RER1" s="231"/>
      <c r="RES1" s="231"/>
      <c r="RET1" s="231"/>
      <c r="REU1" s="231"/>
      <c r="REV1" s="231"/>
      <c r="REW1" s="231"/>
      <c r="REX1" s="231"/>
      <c r="REY1" s="231"/>
      <c r="REZ1" s="231"/>
      <c r="RFA1" s="231"/>
      <c r="RFB1" s="231"/>
      <c r="RFC1" s="231"/>
      <c r="RFD1" s="231"/>
      <c r="RFE1" s="231"/>
      <c r="RFF1" s="231"/>
      <c r="RFG1" s="231"/>
      <c r="RFH1" s="231"/>
      <c r="RFI1" s="231"/>
      <c r="RFJ1" s="231"/>
      <c r="RFK1" s="231"/>
      <c r="RFL1" s="231"/>
      <c r="RFM1" s="231"/>
      <c r="RFN1" s="231"/>
      <c r="RFO1" s="231"/>
      <c r="RFP1" s="231"/>
      <c r="RFQ1" s="231"/>
      <c r="RFR1" s="231"/>
      <c r="RFS1" s="231"/>
      <c r="RFT1" s="231"/>
      <c r="RFU1" s="231"/>
      <c r="RFV1" s="231"/>
      <c r="RFW1" s="231"/>
      <c r="RFX1" s="231"/>
      <c r="RFY1" s="231"/>
      <c r="RFZ1" s="231"/>
      <c r="RGA1" s="231"/>
      <c r="RGB1" s="231"/>
      <c r="RGC1" s="231"/>
      <c r="RGD1" s="231"/>
      <c r="RGE1" s="231"/>
      <c r="RGF1" s="231"/>
      <c r="RGG1" s="231"/>
      <c r="RGH1" s="231"/>
      <c r="RGI1" s="231"/>
      <c r="RGJ1" s="231"/>
      <c r="RGK1" s="231"/>
      <c r="RGL1" s="231"/>
      <c r="RGM1" s="231"/>
      <c r="RGN1" s="231"/>
      <c r="RGO1" s="231"/>
      <c r="RGP1" s="231"/>
      <c r="RGQ1" s="231"/>
      <c r="RGR1" s="231"/>
      <c r="RGS1" s="231"/>
      <c r="RGT1" s="231"/>
      <c r="RGU1" s="231"/>
      <c r="RGV1" s="231"/>
      <c r="RGW1" s="231"/>
      <c r="RGX1" s="231"/>
      <c r="RGY1" s="231"/>
      <c r="RGZ1" s="231"/>
      <c r="RHA1" s="231"/>
      <c r="RHB1" s="231"/>
      <c r="RHC1" s="231"/>
      <c r="RHD1" s="231"/>
      <c r="RHE1" s="231"/>
      <c r="RHF1" s="231"/>
      <c r="RHG1" s="231"/>
      <c r="RHH1" s="231"/>
      <c r="RHI1" s="231"/>
      <c r="RHJ1" s="231"/>
      <c r="RHK1" s="231"/>
      <c r="RHL1" s="231"/>
      <c r="RHM1" s="231"/>
      <c r="RHN1" s="231"/>
      <c r="RHO1" s="231"/>
      <c r="RHP1" s="231"/>
      <c r="RHQ1" s="231"/>
      <c r="RHR1" s="231"/>
      <c r="RHS1" s="231"/>
      <c r="RHT1" s="231"/>
      <c r="RHU1" s="231"/>
      <c r="RHV1" s="231"/>
      <c r="RHW1" s="231"/>
      <c r="RHX1" s="231"/>
      <c r="RHY1" s="231"/>
      <c r="RHZ1" s="231"/>
      <c r="RIA1" s="231"/>
      <c r="RIB1" s="231"/>
      <c r="RIC1" s="231"/>
      <c r="RID1" s="231"/>
      <c r="RIE1" s="231"/>
      <c r="RIF1" s="231"/>
      <c r="RIG1" s="231"/>
      <c r="RIH1" s="231"/>
      <c r="RII1" s="231"/>
      <c r="RIJ1" s="231"/>
      <c r="RIK1" s="231"/>
      <c r="RIL1" s="231"/>
      <c r="RIM1" s="231"/>
      <c r="RIN1" s="231"/>
      <c r="RIO1" s="231"/>
      <c r="RIP1" s="231"/>
      <c r="RIQ1" s="231"/>
      <c r="RIR1" s="231"/>
      <c r="RIS1" s="231"/>
      <c r="RIT1" s="231"/>
      <c r="RIU1" s="231"/>
      <c r="RIV1" s="231"/>
      <c r="RIW1" s="231"/>
      <c r="RIX1" s="231"/>
      <c r="RIY1" s="231"/>
      <c r="RIZ1" s="231"/>
      <c r="RJA1" s="231"/>
      <c r="RJB1" s="231"/>
      <c r="RJC1" s="231"/>
      <c r="RJD1" s="231"/>
      <c r="RJE1" s="231"/>
      <c r="RJF1" s="231"/>
      <c r="RJG1" s="231"/>
      <c r="RJH1" s="231"/>
      <c r="RJI1" s="231"/>
      <c r="RJJ1" s="231"/>
      <c r="RJK1" s="231"/>
      <c r="RJL1" s="231"/>
      <c r="RJM1" s="231"/>
      <c r="RJN1" s="231"/>
      <c r="RJO1" s="231"/>
      <c r="RJP1" s="231"/>
      <c r="RJQ1" s="231"/>
      <c r="RJR1" s="231"/>
      <c r="RJS1" s="231"/>
      <c r="RJT1" s="231"/>
      <c r="RJU1" s="231"/>
      <c r="RJV1" s="231"/>
      <c r="RJW1" s="231"/>
      <c r="RJX1" s="231"/>
      <c r="RJY1" s="231"/>
      <c r="RJZ1" s="231"/>
      <c r="RKA1" s="231"/>
      <c r="RKB1" s="231"/>
      <c r="RKC1" s="231"/>
      <c r="RKD1" s="231"/>
      <c r="RKE1" s="231"/>
      <c r="RKF1" s="231"/>
      <c r="RKG1" s="231"/>
      <c r="RKH1" s="231"/>
      <c r="RKI1" s="231"/>
      <c r="RKJ1" s="231"/>
      <c r="RKK1" s="231"/>
      <c r="RKL1" s="231"/>
      <c r="RKM1" s="231"/>
      <c r="RKN1" s="231"/>
      <c r="RKO1" s="231"/>
      <c r="RKP1" s="231"/>
      <c r="RKQ1" s="231"/>
      <c r="RKR1" s="231"/>
      <c r="RKS1" s="231"/>
      <c r="RKT1" s="231"/>
      <c r="RKU1" s="231"/>
      <c r="RKV1" s="231"/>
      <c r="RKW1" s="231"/>
      <c r="RKX1" s="231"/>
      <c r="RKY1" s="231"/>
      <c r="RKZ1" s="231"/>
      <c r="RLA1" s="231"/>
      <c r="RLB1" s="231"/>
      <c r="RLC1" s="231"/>
      <c r="RLD1" s="231"/>
      <c r="RLE1" s="231"/>
      <c r="RLF1" s="231"/>
      <c r="RLG1" s="231"/>
      <c r="RLH1" s="231"/>
      <c r="RLI1" s="231"/>
      <c r="RLJ1" s="231"/>
      <c r="RLK1" s="231"/>
      <c r="RLL1" s="231"/>
      <c r="RLM1" s="231"/>
      <c r="RLN1" s="231"/>
      <c r="RLO1" s="231"/>
      <c r="RLP1" s="231"/>
      <c r="RLQ1" s="231"/>
      <c r="RLR1" s="231"/>
      <c r="RLS1" s="231"/>
      <c r="RLT1" s="231"/>
      <c r="RLU1" s="231"/>
      <c r="RLV1" s="231"/>
      <c r="RLW1" s="231"/>
      <c r="RLX1" s="231"/>
      <c r="RLY1" s="231"/>
      <c r="RLZ1" s="231"/>
      <c r="RMA1" s="231"/>
      <c r="RMB1" s="231"/>
      <c r="RMC1" s="231"/>
      <c r="RMD1" s="231"/>
      <c r="RME1" s="231"/>
      <c r="RMF1" s="231"/>
      <c r="RMG1" s="231"/>
      <c r="RMH1" s="231"/>
      <c r="RMI1" s="231"/>
      <c r="RMJ1" s="231"/>
      <c r="RMK1" s="231"/>
      <c r="RML1" s="231"/>
      <c r="RMM1" s="231"/>
      <c r="RMN1" s="231"/>
      <c r="RMO1" s="231"/>
      <c r="RMP1" s="231"/>
      <c r="RMQ1" s="231"/>
      <c r="RMR1" s="231"/>
      <c r="RMS1" s="231"/>
      <c r="RMT1" s="231"/>
      <c r="RMU1" s="231"/>
      <c r="RMV1" s="231"/>
      <c r="RMW1" s="231"/>
      <c r="RMX1" s="231"/>
      <c r="RMY1" s="231"/>
      <c r="RMZ1" s="231"/>
      <c r="RNA1" s="231"/>
      <c r="RNB1" s="231"/>
      <c r="RNC1" s="231"/>
      <c r="RND1" s="231"/>
      <c r="RNE1" s="231"/>
      <c r="RNF1" s="231"/>
      <c r="RNG1" s="231"/>
      <c r="RNH1" s="231"/>
      <c r="RNI1" s="231"/>
      <c r="RNJ1" s="231"/>
      <c r="RNK1" s="231"/>
      <c r="RNL1" s="231"/>
      <c r="RNM1" s="231"/>
      <c r="RNN1" s="231"/>
      <c r="RNO1" s="231"/>
      <c r="RNP1" s="231"/>
      <c r="RNQ1" s="231"/>
      <c r="RNR1" s="231"/>
      <c r="RNS1" s="231"/>
      <c r="RNT1" s="231"/>
      <c r="RNU1" s="231"/>
      <c r="RNV1" s="231"/>
      <c r="RNW1" s="231"/>
      <c r="RNX1" s="231"/>
      <c r="RNY1" s="231"/>
      <c r="RNZ1" s="231"/>
      <c r="ROA1" s="231"/>
      <c r="ROB1" s="231"/>
      <c r="ROC1" s="231"/>
      <c r="ROD1" s="231"/>
      <c r="ROE1" s="231"/>
      <c r="ROF1" s="231"/>
      <c r="ROG1" s="231"/>
      <c r="ROH1" s="231"/>
      <c r="ROI1" s="231"/>
      <c r="ROJ1" s="231"/>
      <c r="ROK1" s="231"/>
      <c r="ROL1" s="231"/>
      <c r="ROM1" s="231"/>
      <c r="RON1" s="231"/>
      <c r="ROO1" s="231"/>
      <c r="ROP1" s="231"/>
      <c r="ROQ1" s="231"/>
      <c r="ROR1" s="231"/>
      <c r="ROS1" s="231"/>
      <c r="ROT1" s="231"/>
      <c r="ROU1" s="231"/>
      <c r="ROV1" s="231"/>
      <c r="ROW1" s="231"/>
      <c r="ROX1" s="231"/>
      <c r="ROY1" s="231"/>
      <c r="ROZ1" s="231"/>
      <c r="RPA1" s="231"/>
      <c r="RPB1" s="231"/>
      <c r="RPC1" s="231"/>
      <c r="RPD1" s="231"/>
      <c r="RPE1" s="231"/>
      <c r="RPF1" s="231"/>
      <c r="RPG1" s="231"/>
      <c r="RPH1" s="231"/>
      <c r="RPI1" s="231"/>
      <c r="RPJ1" s="231"/>
      <c r="RPK1" s="231"/>
      <c r="RPL1" s="231"/>
      <c r="RPM1" s="231"/>
      <c r="RPN1" s="231"/>
      <c r="RPO1" s="231"/>
      <c r="RPP1" s="231"/>
      <c r="RPQ1" s="231"/>
      <c r="RPR1" s="231"/>
      <c r="RPS1" s="231"/>
      <c r="RPT1" s="231"/>
      <c r="RPU1" s="231"/>
      <c r="RPV1" s="231"/>
      <c r="RPW1" s="231"/>
      <c r="RPX1" s="231"/>
      <c r="RPY1" s="231"/>
      <c r="RPZ1" s="231"/>
      <c r="RQA1" s="231"/>
      <c r="RQB1" s="231"/>
      <c r="RQC1" s="231"/>
      <c r="RQD1" s="231"/>
      <c r="RQE1" s="231"/>
      <c r="RQF1" s="231"/>
      <c r="RQG1" s="231"/>
      <c r="RQH1" s="231"/>
      <c r="RQI1" s="231"/>
      <c r="RQJ1" s="231"/>
      <c r="RQK1" s="231"/>
      <c r="RQL1" s="231"/>
      <c r="RQM1" s="231"/>
      <c r="RQN1" s="231"/>
      <c r="RQO1" s="231"/>
      <c r="RQP1" s="231"/>
      <c r="RQQ1" s="231"/>
      <c r="RQR1" s="231"/>
      <c r="RQS1" s="231"/>
      <c r="RQT1" s="231"/>
      <c r="RQU1" s="231"/>
      <c r="RQV1" s="231"/>
      <c r="RQW1" s="231"/>
      <c r="RQX1" s="231"/>
      <c r="RQY1" s="231"/>
      <c r="RQZ1" s="231"/>
      <c r="RRA1" s="231"/>
      <c r="RRB1" s="231"/>
      <c r="RRC1" s="231"/>
      <c r="RRD1" s="231"/>
      <c r="RRE1" s="231"/>
      <c r="RRF1" s="231"/>
      <c r="RRG1" s="231"/>
      <c r="RRH1" s="231"/>
      <c r="RRI1" s="231"/>
      <c r="RRJ1" s="231"/>
      <c r="RRK1" s="231"/>
      <c r="RRL1" s="231"/>
      <c r="RRM1" s="231"/>
      <c r="RRN1" s="231"/>
      <c r="RRO1" s="231"/>
      <c r="RRP1" s="231"/>
      <c r="RRQ1" s="231"/>
      <c r="RRR1" s="231"/>
      <c r="RRS1" s="231"/>
      <c r="RRT1" s="231"/>
      <c r="RRU1" s="231"/>
      <c r="RRV1" s="231"/>
      <c r="RRW1" s="231"/>
      <c r="RRX1" s="231"/>
      <c r="RRY1" s="231"/>
      <c r="RRZ1" s="231"/>
      <c r="RSA1" s="231"/>
      <c r="RSB1" s="231"/>
      <c r="RSC1" s="231"/>
      <c r="RSD1" s="231"/>
      <c r="RSE1" s="231"/>
      <c r="RSF1" s="231"/>
      <c r="RSG1" s="231"/>
      <c r="RSH1" s="231"/>
      <c r="RSI1" s="231"/>
      <c r="RSJ1" s="231"/>
      <c r="RSK1" s="231"/>
      <c r="RSL1" s="231"/>
      <c r="RSM1" s="231"/>
      <c r="RSN1" s="231"/>
      <c r="RSO1" s="231"/>
      <c r="RSP1" s="231"/>
      <c r="RSQ1" s="231"/>
      <c r="RSR1" s="231"/>
      <c r="RSS1" s="231"/>
      <c r="RST1" s="231"/>
      <c r="RSU1" s="231"/>
      <c r="RSV1" s="231"/>
      <c r="RSW1" s="231"/>
      <c r="RSX1" s="231"/>
      <c r="RSY1" s="231"/>
      <c r="RSZ1" s="231"/>
      <c r="RTA1" s="231"/>
      <c r="RTB1" s="231"/>
      <c r="RTC1" s="231"/>
      <c r="RTD1" s="231"/>
      <c r="RTE1" s="231"/>
      <c r="RTF1" s="231"/>
      <c r="RTG1" s="231"/>
      <c r="RTH1" s="231"/>
      <c r="RTI1" s="231"/>
      <c r="RTJ1" s="231"/>
      <c r="RTK1" s="231"/>
      <c r="RTL1" s="231"/>
      <c r="RTM1" s="231"/>
      <c r="RTN1" s="231"/>
      <c r="RTO1" s="231"/>
      <c r="RTP1" s="231"/>
      <c r="RTQ1" s="231"/>
      <c r="RTR1" s="231"/>
      <c r="RTS1" s="231"/>
      <c r="RTT1" s="231"/>
      <c r="RTU1" s="231"/>
      <c r="RTV1" s="231"/>
      <c r="RTW1" s="231"/>
      <c r="RTX1" s="231"/>
      <c r="RTY1" s="231"/>
      <c r="RTZ1" s="231"/>
      <c r="RUA1" s="231"/>
      <c r="RUB1" s="231"/>
      <c r="RUC1" s="231"/>
      <c r="RUD1" s="231"/>
      <c r="RUE1" s="231"/>
      <c r="RUF1" s="231"/>
      <c r="RUG1" s="231"/>
      <c r="RUH1" s="231"/>
      <c r="RUI1" s="231"/>
      <c r="RUJ1" s="231"/>
      <c r="RUK1" s="231"/>
      <c r="RUL1" s="231"/>
      <c r="RUM1" s="231"/>
      <c r="RUN1" s="231"/>
      <c r="RUO1" s="231"/>
      <c r="RUP1" s="231"/>
      <c r="RUQ1" s="231"/>
      <c r="RUR1" s="231"/>
      <c r="RUS1" s="231"/>
      <c r="RUT1" s="231"/>
      <c r="RUU1" s="231"/>
      <c r="RUV1" s="231"/>
      <c r="RUW1" s="231"/>
      <c r="RUX1" s="231"/>
      <c r="RUY1" s="231"/>
      <c r="RUZ1" s="231"/>
      <c r="RVA1" s="231"/>
      <c r="RVB1" s="231"/>
      <c r="RVC1" s="231"/>
      <c r="RVD1" s="231"/>
      <c r="RVE1" s="231"/>
      <c r="RVF1" s="231"/>
      <c r="RVG1" s="231"/>
      <c r="RVH1" s="231"/>
      <c r="RVI1" s="231"/>
      <c r="RVJ1" s="231"/>
      <c r="RVK1" s="231"/>
      <c r="RVL1" s="231"/>
      <c r="RVM1" s="231"/>
      <c r="RVN1" s="231"/>
      <c r="RVO1" s="231"/>
      <c r="RVP1" s="231"/>
      <c r="RVQ1" s="231"/>
      <c r="RVR1" s="231"/>
      <c r="RVS1" s="231"/>
      <c r="RVT1" s="231"/>
      <c r="RVU1" s="231"/>
      <c r="RVV1" s="231"/>
      <c r="RVW1" s="231"/>
      <c r="RVX1" s="231"/>
      <c r="RVY1" s="231"/>
      <c r="RVZ1" s="231"/>
      <c r="RWA1" s="231"/>
      <c r="RWB1" s="231"/>
      <c r="RWC1" s="231"/>
      <c r="RWD1" s="231"/>
      <c r="RWE1" s="231"/>
      <c r="RWF1" s="231"/>
      <c r="RWG1" s="231"/>
      <c r="RWH1" s="231"/>
      <c r="RWI1" s="231"/>
      <c r="RWJ1" s="231"/>
      <c r="RWK1" s="231"/>
      <c r="RWL1" s="231"/>
      <c r="RWM1" s="231"/>
      <c r="RWN1" s="231"/>
      <c r="RWO1" s="231"/>
      <c r="RWP1" s="231"/>
      <c r="RWQ1" s="231"/>
      <c r="RWR1" s="231"/>
      <c r="RWS1" s="231"/>
      <c r="RWT1" s="231"/>
      <c r="RWU1" s="231"/>
      <c r="RWV1" s="231"/>
      <c r="RWW1" s="231"/>
      <c r="RWX1" s="231"/>
      <c r="RWY1" s="231"/>
      <c r="RWZ1" s="231"/>
      <c r="RXA1" s="231"/>
      <c r="RXB1" s="231"/>
      <c r="RXC1" s="231"/>
      <c r="RXD1" s="231"/>
      <c r="RXE1" s="231"/>
      <c r="RXF1" s="231"/>
      <c r="RXG1" s="231"/>
      <c r="RXH1" s="231"/>
      <c r="RXI1" s="231"/>
      <c r="RXJ1" s="231"/>
      <c r="RXK1" s="231"/>
      <c r="RXL1" s="231"/>
      <c r="RXM1" s="231"/>
      <c r="RXN1" s="231"/>
      <c r="RXO1" s="231"/>
      <c r="RXP1" s="231"/>
      <c r="RXQ1" s="231"/>
      <c r="RXR1" s="231"/>
      <c r="RXS1" s="231"/>
      <c r="RXT1" s="231"/>
      <c r="RXU1" s="231"/>
      <c r="RXV1" s="231"/>
      <c r="RXW1" s="231"/>
      <c r="RXX1" s="231"/>
      <c r="RXY1" s="231"/>
      <c r="RXZ1" s="231"/>
      <c r="RYA1" s="231"/>
      <c r="RYB1" s="231"/>
      <c r="RYC1" s="231"/>
      <c r="RYD1" s="231"/>
      <c r="RYE1" s="231"/>
      <c r="RYF1" s="231"/>
      <c r="RYG1" s="231"/>
      <c r="RYH1" s="231"/>
      <c r="RYI1" s="231"/>
      <c r="RYJ1" s="231"/>
      <c r="RYK1" s="231"/>
      <c r="RYL1" s="231"/>
      <c r="RYM1" s="231"/>
      <c r="RYN1" s="231"/>
      <c r="RYO1" s="231"/>
      <c r="RYP1" s="231"/>
      <c r="RYQ1" s="231"/>
      <c r="RYR1" s="231"/>
      <c r="RYS1" s="231"/>
      <c r="RYT1" s="231"/>
      <c r="RYU1" s="231"/>
      <c r="RYV1" s="231"/>
      <c r="RYW1" s="231"/>
      <c r="RYX1" s="231"/>
      <c r="RYY1" s="231"/>
      <c r="RYZ1" s="231"/>
      <c r="RZA1" s="231"/>
      <c r="RZB1" s="231"/>
      <c r="RZC1" s="231"/>
      <c r="RZD1" s="231"/>
      <c r="RZE1" s="231"/>
      <c r="RZF1" s="231"/>
      <c r="RZG1" s="231"/>
      <c r="RZH1" s="231"/>
      <c r="RZI1" s="231"/>
      <c r="RZJ1" s="231"/>
      <c r="RZK1" s="231"/>
      <c r="RZL1" s="231"/>
      <c r="RZM1" s="231"/>
      <c r="RZN1" s="231"/>
      <c r="RZO1" s="231"/>
      <c r="RZP1" s="231"/>
      <c r="RZQ1" s="231"/>
      <c r="RZR1" s="231"/>
      <c r="RZS1" s="231"/>
      <c r="RZT1" s="231"/>
      <c r="RZU1" s="231"/>
      <c r="RZV1" s="231"/>
      <c r="RZW1" s="231"/>
      <c r="RZX1" s="231"/>
      <c r="RZY1" s="231"/>
      <c r="RZZ1" s="231"/>
      <c r="SAA1" s="231"/>
      <c r="SAB1" s="231"/>
      <c r="SAC1" s="231"/>
      <c r="SAD1" s="231"/>
      <c r="SAE1" s="231"/>
      <c r="SAF1" s="231"/>
      <c r="SAG1" s="231"/>
      <c r="SAH1" s="231"/>
      <c r="SAI1" s="231"/>
      <c r="SAJ1" s="231"/>
      <c r="SAK1" s="231"/>
      <c r="SAL1" s="231"/>
      <c r="SAM1" s="231"/>
      <c r="SAN1" s="231"/>
      <c r="SAO1" s="231"/>
      <c r="SAP1" s="231"/>
      <c r="SAQ1" s="231"/>
      <c r="SAR1" s="231"/>
      <c r="SAS1" s="231"/>
      <c r="SAT1" s="231"/>
      <c r="SAU1" s="231"/>
      <c r="SAV1" s="231"/>
      <c r="SAW1" s="231"/>
      <c r="SAX1" s="231"/>
      <c r="SAY1" s="231"/>
      <c r="SAZ1" s="231"/>
      <c r="SBA1" s="231"/>
      <c r="SBB1" s="231"/>
      <c r="SBC1" s="231"/>
      <c r="SBD1" s="231"/>
      <c r="SBE1" s="231"/>
      <c r="SBF1" s="231"/>
      <c r="SBG1" s="231"/>
      <c r="SBH1" s="231"/>
      <c r="SBI1" s="231"/>
      <c r="SBJ1" s="231"/>
      <c r="SBK1" s="231"/>
      <c r="SBL1" s="231"/>
      <c r="SBM1" s="231"/>
      <c r="SBN1" s="231"/>
      <c r="SBO1" s="231"/>
      <c r="SBP1" s="231"/>
      <c r="SBQ1" s="231"/>
      <c r="SBR1" s="231"/>
      <c r="SBS1" s="231"/>
      <c r="SBT1" s="231"/>
      <c r="SBU1" s="231"/>
      <c r="SBV1" s="231"/>
      <c r="SBW1" s="231"/>
      <c r="SBX1" s="231"/>
      <c r="SBY1" s="231"/>
      <c r="SBZ1" s="231"/>
      <c r="SCA1" s="231"/>
      <c r="SCB1" s="231"/>
      <c r="SCC1" s="231"/>
      <c r="SCD1" s="231"/>
      <c r="SCE1" s="231"/>
      <c r="SCF1" s="231"/>
      <c r="SCG1" s="231"/>
      <c r="SCH1" s="231"/>
      <c r="SCI1" s="231"/>
      <c r="SCJ1" s="231"/>
      <c r="SCK1" s="231"/>
      <c r="SCL1" s="231"/>
      <c r="SCM1" s="231"/>
      <c r="SCN1" s="231"/>
      <c r="SCO1" s="231"/>
      <c r="SCP1" s="231"/>
      <c r="SCQ1" s="231"/>
      <c r="SCR1" s="231"/>
      <c r="SCS1" s="231"/>
      <c r="SCT1" s="231"/>
      <c r="SCU1" s="231"/>
      <c r="SCV1" s="231"/>
      <c r="SCW1" s="231"/>
      <c r="SCX1" s="231"/>
      <c r="SCY1" s="231"/>
      <c r="SCZ1" s="231"/>
      <c r="SDA1" s="231"/>
      <c r="SDB1" s="231"/>
      <c r="SDC1" s="231"/>
      <c r="SDD1" s="231"/>
      <c r="SDE1" s="231"/>
      <c r="SDF1" s="231"/>
      <c r="SDG1" s="231"/>
      <c r="SDH1" s="231"/>
      <c r="SDI1" s="231"/>
      <c r="SDJ1" s="231"/>
      <c r="SDK1" s="231"/>
      <c r="SDL1" s="231"/>
      <c r="SDM1" s="231"/>
      <c r="SDN1" s="231"/>
      <c r="SDO1" s="231"/>
      <c r="SDP1" s="231"/>
      <c r="SDQ1" s="231"/>
      <c r="SDR1" s="231"/>
      <c r="SDS1" s="231"/>
      <c r="SDT1" s="231"/>
      <c r="SDU1" s="231"/>
      <c r="SDV1" s="231"/>
      <c r="SDW1" s="231"/>
      <c r="SDX1" s="231"/>
      <c r="SDY1" s="231"/>
      <c r="SDZ1" s="231"/>
      <c r="SEA1" s="231"/>
      <c r="SEB1" s="231"/>
      <c r="SEC1" s="231"/>
      <c r="SED1" s="231"/>
      <c r="SEE1" s="231"/>
      <c r="SEF1" s="231"/>
      <c r="SEG1" s="231"/>
      <c r="SEH1" s="231"/>
      <c r="SEI1" s="231"/>
      <c r="SEJ1" s="231"/>
      <c r="SEK1" s="231"/>
      <c r="SEL1" s="231"/>
      <c r="SEM1" s="231"/>
      <c r="SEN1" s="231"/>
      <c r="SEO1" s="231"/>
      <c r="SEP1" s="231"/>
      <c r="SEQ1" s="231"/>
      <c r="SER1" s="231"/>
      <c r="SES1" s="231"/>
      <c r="SET1" s="231"/>
      <c r="SEU1" s="231"/>
      <c r="SEV1" s="231"/>
      <c r="SEW1" s="231"/>
      <c r="SEX1" s="231"/>
      <c r="SEY1" s="231"/>
      <c r="SEZ1" s="231"/>
      <c r="SFA1" s="231"/>
      <c r="SFB1" s="231"/>
      <c r="SFC1" s="231"/>
      <c r="SFD1" s="231"/>
      <c r="SFE1" s="231"/>
      <c r="SFF1" s="231"/>
      <c r="SFG1" s="231"/>
      <c r="SFH1" s="231"/>
      <c r="SFI1" s="231"/>
      <c r="SFJ1" s="231"/>
      <c r="SFK1" s="231"/>
      <c r="SFL1" s="231"/>
      <c r="SFM1" s="231"/>
      <c r="SFN1" s="231"/>
      <c r="SFO1" s="231"/>
      <c r="SFP1" s="231"/>
      <c r="SFQ1" s="231"/>
      <c r="SFR1" s="231"/>
      <c r="SFS1" s="231"/>
      <c r="SFT1" s="231"/>
      <c r="SFU1" s="231"/>
      <c r="SFV1" s="231"/>
      <c r="SFW1" s="231"/>
      <c r="SFX1" s="231"/>
      <c r="SFY1" s="231"/>
      <c r="SFZ1" s="231"/>
      <c r="SGA1" s="231"/>
      <c r="SGB1" s="231"/>
      <c r="SGC1" s="231"/>
      <c r="SGD1" s="231"/>
      <c r="SGE1" s="231"/>
      <c r="SGF1" s="231"/>
      <c r="SGG1" s="231"/>
      <c r="SGH1" s="231"/>
      <c r="SGI1" s="231"/>
      <c r="SGJ1" s="231"/>
      <c r="SGK1" s="231"/>
      <c r="SGL1" s="231"/>
      <c r="SGM1" s="231"/>
      <c r="SGN1" s="231"/>
      <c r="SGO1" s="231"/>
      <c r="SGP1" s="231"/>
      <c r="SGQ1" s="231"/>
      <c r="SGR1" s="231"/>
      <c r="SGS1" s="231"/>
      <c r="SGT1" s="231"/>
      <c r="SGU1" s="231"/>
      <c r="SGV1" s="231"/>
      <c r="SGW1" s="231"/>
      <c r="SGX1" s="231"/>
      <c r="SGY1" s="231"/>
      <c r="SGZ1" s="231"/>
      <c r="SHA1" s="231"/>
      <c r="SHB1" s="231"/>
      <c r="SHC1" s="231"/>
      <c r="SHD1" s="231"/>
      <c r="SHE1" s="231"/>
      <c r="SHF1" s="231"/>
      <c r="SHG1" s="231"/>
      <c r="SHH1" s="231"/>
      <c r="SHI1" s="231"/>
      <c r="SHJ1" s="231"/>
      <c r="SHK1" s="231"/>
      <c r="SHL1" s="231"/>
      <c r="SHM1" s="231"/>
      <c r="SHN1" s="231"/>
      <c r="SHO1" s="231"/>
      <c r="SHP1" s="231"/>
      <c r="SHQ1" s="231"/>
      <c r="SHR1" s="231"/>
      <c r="SHS1" s="231"/>
      <c r="SHT1" s="231"/>
      <c r="SHU1" s="231"/>
      <c r="SHV1" s="231"/>
      <c r="SHW1" s="231"/>
      <c r="SHX1" s="231"/>
      <c r="SHY1" s="231"/>
      <c r="SHZ1" s="231"/>
      <c r="SIA1" s="231"/>
      <c r="SIB1" s="231"/>
      <c r="SIC1" s="231"/>
      <c r="SID1" s="231"/>
      <c r="SIE1" s="231"/>
      <c r="SIF1" s="231"/>
      <c r="SIG1" s="231"/>
      <c r="SIH1" s="231"/>
      <c r="SII1" s="231"/>
      <c r="SIJ1" s="231"/>
      <c r="SIK1" s="231"/>
      <c r="SIL1" s="231"/>
      <c r="SIM1" s="231"/>
      <c r="SIN1" s="231"/>
      <c r="SIO1" s="231"/>
      <c r="SIP1" s="231"/>
      <c r="SIQ1" s="231"/>
      <c r="SIR1" s="231"/>
      <c r="SIS1" s="231"/>
      <c r="SIT1" s="231"/>
      <c r="SIU1" s="231"/>
      <c r="SIV1" s="231"/>
      <c r="SIW1" s="231"/>
      <c r="SIX1" s="231"/>
      <c r="SIY1" s="231"/>
      <c r="SIZ1" s="231"/>
      <c r="SJA1" s="231"/>
      <c r="SJB1" s="231"/>
      <c r="SJC1" s="231"/>
      <c r="SJD1" s="231"/>
      <c r="SJE1" s="231"/>
      <c r="SJF1" s="231"/>
      <c r="SJG1" s="231"/>
      <c r="SJH1" s="231"/>
      <c r="SJI1" s="231"/>
      <c r="SJJ1" s="231"/>
      <c r="SJK1" s="231"/>
      <c r="SJL1" s="231"/>
      <c r="SJM1" s="231"/>
      <c r="SJN1" s="231"/>
      <c r="SJO1" s="231"/>
      <c r="SJP1" s="231"/>
      <c r="SJQ1" s="231"/>
      <c r="SJR1" s="231"/>
      <c r="SJS1" s="231"/>
      <c r="SJT1" s="231"/>
      <c r="SJU1" s="231"/>
      <c r="SJV1" s="231"/>
      <c r="SJW1" s="231"/>
      <c r="SJX1" s="231"/>
      <c r="SJY1" s="231"/>
      <c r="SJZ1" s="231"/>
      <c r="SKA1" s="231"/>
      <c r="SKB1" s="231"/>
      <c r="SKC1" s="231"/>
      <c r="SKD1" s="231"/>
      <c r="SKE1" s="231"/>
      <c r="SKF1" s="231"/>
      <c r="SKG1" s="231"/>
      <c r="SKH1" s="231"/>
      <c r="SKI1" s="231"/>
      <c r="SKJ1" s="231"/>
      <c r="SKK1" s="231"/>
      <c r="SKL1" s="231"/>
      <c r="SKM1" s="231"/>
      <c r="SKN1" s="231"/>
      <c r="SKO1" s="231"/>
      <c r="SKP1" s="231"/>
      <c r="SKQ1" s="231"/>
      <c r="SKR1" s="231"/>
      <c r="SKS1" s="231"/>
      <c r="SKT1" s="231"/>
      <c r="SKU1" s="231"/>
      <c r="SKV1" s="231"/>
      <c r="SKW1" s="231"/>
      <c r="SKX1" s="231"/>
      <c r="SKY1" s="231"/>
      <c r="SKZ1" s="231"/>
      <c r="SLA1" s="231"/>
      <c r="SLB1" s="231"/>
      <c r="SLC1" s="231"/>
      <c r="SLD1" s="231"/>
      <c r="SLE1" s="231"/>
      <c r="SLF1" s="231"/>
      <c r="SLG1" s="231"/>
      <c r="SLH1" s="231"/>
      <c r="SLI1" s="231"/>
      <c r="SLJ1" s="231"/>
      <c r="SLK1" s="231"/>
      <c r="SLL1" s="231"/>
      <c r="SLM1" s="231"/>
      <c r="SLN1" s="231"/>
      <c r="SLO1" s="231"/>
      <c r="SLP1" s="231"/>
      <c r="SLQ1" s="231"/>
      <c r="SLR1" s="231"/>
      <c r="SLS1" s="231"/>
      <c r="SLT1" s="231"/>
      <c r="SLU1" s="231"/>
      <c r="SLV1" s="231"/>
      <c r="SLW1" s="231"/>
      <c r="SLX1" s="231"/>
      <c r="SLY1" s="231"/>
      <c r="SLZ1" s="231"/>
      <c r="SMA1" s="231"/>
      <c r="SMB1" s="231"/>
      <c r="SMC1" s="231"/>
      <c r="SMD1" s="231"/>
      <c r="SME1" s="231"/>
      <c r="SMF1" s="231"/>
      <c r="SMG1" s="231"/>
      <c r="SMH1" s="231"/>
      <c r="SMI1" s="231"/>
      <c r="SMJ1" s="231"/>
      <c r="SMK1" s="231"/>
      <c r="SML1" s="231"/>
      <c r="SMM1" s="231"/>
      <c r="SMN1" s="231"/>
      <c r="SMO1" s="231"/>
      <c r="SMP1" s="231"/>
      <c r="SMQ1" s="231"/>
      <c r="SMR1" s="231"/>
      <c r="SMS1" s="231"/>
      <c r="SMT1" s="231"/>
      <c r="SMU1" s="231"/>
      <c r="SMV1" s="231"/>
      <c r="SMW1" s="231"/>
      <c r="SMX1" s="231"/>
      <c r="SMY1" s="231"/>
      <c r="SMZ1" s="231"/>
      <c r="SNA1" s="231"/>
      <c r="SNB1" s="231"/>
      <c r="SNC1" s="231"/>
      <c r="SND1" s="231"/>
      <c r="SNE1" s="231"/>
      <c r="SNF1" s="231"/>
      <c r="SNG1" s="231"/>
      <c r="SNH1" s="231"/>
      <c r="SNI1" s="231"/>
      <c r="SNJ1" s="231"/>
      <c r="SNK1" s="231"/>
      <c r="SNL1" s="231"/>
      <c r="SNM1" s="231"/>
      <c r="SNN1" s="231"/>
      <c r="SNO1" s="231"/>
      <c r="SNP1" s="231"/>
      <c r="SNQ1" s="231"/>
      <c r="SNR1" s="231"/>
      <c r="SNS1" s="231"/>
      <c r="SNT1" s="231"/>
      <c r="SNU1" s="231"/>
      <c r="SNV1" s="231"/>
      <c r="SNW1" s="231"/>
      <c r="SNX1" s="231"/>
      <c r="SNY1" s="231"/>
      <c r="SNZ1" s="231"/>
      <c r="SOA1" s="231"/>
      <c r="SOB1" s="231"/>
      <c r="SOC1" s="231"/>
      <c r="SOD1" s="231"/>
      <c r="SOE1" s="231"/>
      <c r="SOF1" s="231"/>
      <c r="SOG1" s="231"/>
      <c r="SOH1" s="231"/>
      <c r="SOI1" s="231"/>
      <c r="SOJ1" s="231"/>
      <c r="SOK1" s="231"/>
      <c r="SOL1" s="231"/>
      <c r="SOM1" s="231"/>
      <c r="SON1" s="231"/>
      <c r="SOO1" s="231"/>
      <c r="SOP1" s="231"/>
      <c r="SOQ1" s="231"/>
      <c r="SOR1" s="231"/>
      <c r="SOS1" s="231"/>
      <c r="SOT1" s="231"/>
      <c r="SOU1" s="231"/>
      <c r="SOV1" s="231"/>
      <c r="SOW1" s="231"/>
      <c r="SOX1" s="231"/>
      <c r="SOY1" s="231"/>
      <c r="SOZ1" s="231"/>
      <c r="SPA1" s="231"/>
      <c r="SPB1" s="231"/>
      <c r="SPC1" s="231"/>
      <c r="SPD1" s="231"/>
      <c r="SPE1" s="231"/>
      <c r="SPF1" s="231"/>
      <c r="SPG1" s="231"/>
      <c r="SPH1" s="231"/>
      <c r="SPI1" s="231"/>
      <c r="SPJ1" s="231"/>
      <c r="SPK1" s="231"/>
      <c r="SPL1" s="231"/>
      <c r="SPM1" s="231"/>
      <c r="SPN1" s="231"/>
      <c r="SPO1" s="231"/>
      <c r="SPP1" s="231"/>
      <c r="SPQ1" s="231"/>
      <c r="SPR1" s="231"/>
      <c r="SPS1" s="231"/>
      <c r="SPT1" s="231"/>
      <c r="SPU1" s="231"/>
      <c r="SPV1" s="231"/>
      <c r="SPW1" s="231"/>
      <c r="SPX1" s="231"/>
      <c r="SPY1" s="231"/>
      <c r="SPZ1" s="231"/>
      <c r="SQA1" s="231"/>
      <c r="SQB1" s="231"/>
      <c r="SQC1" s="231"/>
      <c r="SQD1" s="231"/>
      <c r="SQE1" s="231"/>
      <c r="SQF1" s="231"/>
      <c r="SQG1" s="231"/>
      <c r="SQH1" s="231"/>
      <c r="SQI1" s="231"/>
      <c r="SQJ1" s="231"/>
      <c r="SQK1" s="231"/>
      <c r="SQL1" s="231"/>
      <c r="SQM1" s="231"/>
      <c r="SQN1" s="231"/>
      <c r="SQO1" s="231"/>
      <c r="SQP1" s="231"/>
      <c r="SQQ1" s="231"/>
      <c r="SQR1" s="231"/>
      <c r="SQS1" s="231"/>
      <c r="SQT1" s="231"/>
      <c r="SQU1" s="231"/>
      <c r="SQV1" s="231"/>
      <c r="SQW1" s="231"/>
      <c r="SQX1" s="231"/>
      <c r="SQY1" s="231"/>
      <c r="SQZ1" s="231"/>
      <c r="SRA1" s="231"/>
      <c r="SRB1" s="231"/>
      <c r="SRC1" s="231"/>
      <c r="SRD1" s="231"/>
      <c r="SRE1" s="231"/>
      <c r="SRF1" s="231"/>
      <c r="SRG1" s="231"/>
      <c r="SRH1" s="231"/>
      <c r="SRI1" s="231"/>
      <c r="SRJ1" s="231"/>
      <c r="SRK1" s="231"/>
      <c r="SRL1" s="231"/>
      <c r="SRM1" s="231"/>
      <c r="SRN1" s="231"/>
      <c r="SRO1" s="231"/>
      <c r="SRP1" s="231"/>
      <c r="SRQ1" s="231"/>
      <c r="SRR1" s="231"/>
      <c r="SRS1" s="231"/>
      <c r="SRT1" s="231"/>
      <c r="SRU1" s="231"/>
      <c r="SRV1" s="231"/>
      <c r="SRW1" s="231"/>
      <c r="SRX1" s="231"/>
      <c r="SRY1" s="231"/>
      <c r="SRZ1" s="231"/>
      <c r="SSA1" s="231"/>
      <c r="SSB1" s="231"/>
      <c r="SSC1" s="231"/>
      <c r="SSD1" s="231"/>
      <c r="SSE1" s="231"/>
      <c r="SSF1" s="231"/>
      <c r="SSG1" s="231"/>
      <c r="SSH1" s="231"/>
      <c r="SSI1" s="231"/>
      <c r="SSJ1" s="231"/>
      <c r="SSK1" s="231"/>
      <c r="SSL1" s="231"/>
      <c r="SSM1" s="231"/>
      <c r="SSN1" s="231"/>
      <c r="SSO1" s="231"/>
      <c r="SSP1" s="231"/>
      <c r="SSQ1" s="231"/>
      <c r="SSR1" s="231"/>
      <c r="SSS1" s="231"/>
      <c r="SST1" s="231"/>
      <c r="SSU1" s="231"/>
      <c r="SSV1" s="231"/>
      <c r="SSW1" s="231"/>
      <c r="SSX1" s="231"/>
      <c r="SSY1" s="231"/>
      <c r="SSZ1" s="231"/>
      <c r="STA1" s="231"/>
      <c r="STB1" s="231"/>
      <c r="STC1" s="231"/>
      <c r="STD1" s="231"/>
      <c r="STE1" s="231"/>
      <c r="STF1" s="231"/>
      <c r="STG1" s="231"/>
      <c r="STH1" s="231"/>
      <c r="STI1" s="231"/>
      <c r="STJ1" s="231"/>
      <c r="STK1" s="231"/>
      <c r="STL1" s="231"/>
      <c r="STM1" s="231"/>
      <c r="STN1" s="231"/>
      <c r="STO1" s="231"/>
      <c r="STP1" s="231"/>
      <c r="STQ1" s="231"/>
      <c r="STR1" s="231"/>
      <c r="STS1" s="231"/>
      <c r="STT1" s="231"/>
      <c r="STU1" s="231"/>
      <c r="STV1" s="231"/>
      <c r="STW1" s="231"/>
      <c r="STX1" s="231"/>
      <c r="STY1" s="231"/>
      <c r="STZ1" s="231"/>
      <c r="SUA1" s="231"/>
      <c r="SUB1" s="231"/>
      <c r="SUC1" s="231"/>
      <c r="SUD1" s="231"/>
      <c r="SUE1" s="231"/>
      <c r="SUF1" s="231"/>
      <c r="SUG1" s="231"/>
      <c r="SUH1" s="231"/>
      <c r="SUI1" s="231"/>
      <c r="SUJ1" s="231"/>
      <c r="SUK1" s="231"/>
      <c r="SUL1" s="231"/>
      <c r="SUM1" s="231"/>
      <c r="SUN1" s="231"/>
      <c r="SUO1" s="231"/>
      <c r="SUP1" s="231"/>
      <c r="SUQ1" s="231"/>
      <c r="SUR1" s="231"/>
      <c r="SUS1" s="231"/>
      <c r="SUT1" s="231"/>
      <c r="SUU1" s="231"/>
      <c r="SUV1" s="231"/>
      <c r="SUW1" s="231"/>
      <c r="SUX1" s="231"/>
      <c r="SUY1" s="231"/>
      <c r="SUZ1" s="231"/>
      <c r="SVA1" s="231"/>
      <c r="SVB1" s="231"/>
      <c r="SVC1" s="231"/>
      <c r="SVD1" s="231"/>
      <c r="SVE1" s="231"/>
      <c r="SVF1" s="231"/>
      <c r="SVG1" s="231"/>
      <c r="SVH1" s="231"/>
      <c r="SVI1" s="231"/>
      <c r="SVJ1" s="231"/>
      <c r="SVK1" s="231"/>
      <c r="SVL1" s="231"/>
      <c r="SVM1" s="231"/>
      <c r="SVN1" s="231"/>
      <c r="SVO1" s="231"/>
      <c r="SVP1" s="231"/>
      <c r="SVQ1" s="231"/>
      <c r="SVR1" s="231"/>
      <c r="SVS1" s="231"/>
      <c r="SVT1" s="231"/>
      <c r="SVU1" s="231"/>
      <c r="SVV1" s="231"/>
      <c r="SVW1" s="231"/>
      <c r="SVX1" s="231"/>
      <c r="SVY1" s="231"/>
      <c r="SVZ1" s="231"/>
      <c r="SWA1" s="231"/>
      <c r="SWB1" s="231"/>
      <c r="SWC1" s="231"/>
      <c r="SWD1" s="231"/>
      <c r="SWE1" s="231"/>
      <c r="SWF1" s="231"/>
      <c r="SWG1" s="231"/>
      <c r="SWH1" s="231"/>
      <c r="SWI1" s="231"/>
      <c r="SWJ1" s="231"/>
      <c r="SWK1" s="231"/>
      <c r="SWL1" s="231"/>
      <c r="SWM1" s="231"/>
      <c r="SWN1" s="231"/>
      <c r="SWO1" s="231"/>
      <c r="SWP1" s="231"/>
      <c r="SWQ1" s="231"/>
      <c r="SWR1" s="231"/>
      <c r="SWS1" s="231"/>
      <c r="SWT1" s="231"/>
      <c r="SWU1" s="231"/>
      <c r="SWV1" s="231"/>
      <c r="SWW1" s="231"/>
      <c r="SWX1" s="231"/>
      <c r="SWY1" s="231"/>
      <c r="SWZ1" s="231"/>
      <c r="SXA1" s="231"/>
      <c r="SXB1" s="231"/>
      <c r="SXC1" s="231"/>
      <c r="SXD1" s="231"/>
      <c r="SXE1" s="231"/>
      <c r="SXF1" s="231"/>
      <c r="SXG1" s="231"/>
      <c r="SXH1" s="231"/>
      <c r="SXI1" s="231"/>
      <c r="SXJ1" s="231"/>
      <c r="SXK1" s="231"/>
      <c r="SXL1" s="231"/>
      <c r="SXM1" s="231"/>
      <c r="SXN1" s="231"/>
      <c r="SXO1" s="231"/>
      <c r="SXP1" s="231"/>
      <c r="SXQ1" s="231"/>
      <c r="SXR1" s="231"/>
      <c r="SXS1" s="231"/>
      <c r="SXT1" s="231"/>
      <c r="SXU1" s="231"/>
      <c r="SXV1" s="231"/>
      <c r="SXW1" s="231"/>
      <c r="SXX1" s="231"/>
      <c r="SXY1" s="231"/>
      <c r="SXZ1" s="231"/>
      <c r="SYA1" s="231"/>
      <c r="SYB1" s="231"/>
      <c r="SYC1" s="231"/>
      <c r="SYD1" s="231"/>
      <c r="SYE1" s="231"/>
      <c r="SYF1" s="231"/>
      <c r="SYG1" s="231"/>
      <c r="SYH1" s="231"/>
      <c r="SYI1" s="231"/>
      <c r="SYJ1" s="231"/>
      <c r="SYK1" s="231"/>
      <c r="SYL1" s="231"/>
      <c r="SYM1" s="231"/>
      <c r="SYN1" s="231"/>
      <c r="SYO1" s="231"/>
      <c r="SYP1" s="231"/>
      <c r="SYQ1" s="231"/>
      <c r="SYR1" s="231"/>
      <c r="SYS1" s="231"/>
      <c r="SYT1" s="231"/>
      <c r="SYU1" s="231"/>
      <c r="SYV1" s="231"/>
      <c r="SYW1" s="231"/>
      <c r="SYX1" s="231"/>
      <c r="SYY1" s="231"/>
      <c r="SYZ1" s="231"/>
      <c r="SZA1" s="231"/>
      <c r="SZB1" s="231"/>
      <c r="SZC1" s="231"/>
      <c r="SZD1" s="231"/>
      <c r="SZE1" s="231"/>
      <c r="SZF1" s="231"/>
      <c r="SZG1" s="231"/>
      <c r="SZH1" s="231"/>
      <c r="SZI1" s="231"/>
      <c r="SZJ1" s="231"/>
      <c r="SZK1" s="231"/>
      <c r="SZL1" s="231"/>
      <c r="SZM1" s="231"/>
      <c r="SZN1" s="231"/>
      <c r="SZO1" s="231"/>
      <c r="SZP1" s="231"/>
      <c r="SZQ1" s="231"/>
      <c r="SZR1" s="231"/>
      <c r="SZS1" s="231"/>
      <c r="SZT1" s="231"/>
      <c r="SZU1" s="231"/>
      <c r="SZV1" s="231"/>
      <c r="SZW1" s="231"/>
      <c r="SZX1" s="231"/>
      <c r="SZY1" s="231"/>
      <c r="SZZ1" s="231"/>
      <c r="TAA1" s="231"/>
      <c r="TAB1" s="231"/>
      <c r="TAC1" s="231"/>
      <c r="TAD1" s="231"/>
      <c r="TAE1" s="231"/>
      <c r="TAF1" s="231"/>
      <c r="TAG1" s="231"/>
      <c r="TAH1" s="231"/>
      <c r="TAI1" s="231"/>
      <c r="TAJ1" s="231"/>
      <c r="TAK1" s="231"/>
      <c r="TAL1" s="231"/>
      <c r="TAM1" s="231"/>
      <c r="TAN1" s="231"/>
      <c r="TAO1" s="231"/>
      <c r="TAP1" s="231"/>
      <c r="TAQ1" s="231"/>
      <c r="TAR1" s="231"/>
      <c r="TAS1" s="231"/>
      <c r="TAT1" s="231"/>
      <c r="TAU1" s="231"/>
      <c r="TAV1" s="231"/>
      <c r="TAW1" s="231"/>
      <c r="TAX1" s="231"/>
      <c r="TAY1" s="231"/>
      <c r="TAZ1" s="231"/>
      <c r="TBA1" s="231"/>
      <c r="TBB1" s="231"/>
      <c r="TBC1" s="231"/>
      <c r="TBD1" s="231"/>
      <c r="TBE1" s="231"/>
      <c r="TBF1" s="231"/>
      <c r="TBG1" s="231"/>
      <c r="TBH1" s="231"/>
      <c r="TBI1" s="231"/>
      <c r="TBJ1" s="231"/>
      <c r="TBK1" s="231"/>
      <c r="TBL1" s="231"/>
      <c r="TBM1" s="231"/>
      <c r="TBN1" s="231"/>
      <c r="TBO1" s="231"/>
      <c r="TBP1" s="231"/>
      <c r="TBQ1" s="231"/>
      <c r="TBR1" s="231"/>
      <c r="TBS1" s="231"/>
      <c r="TBT1" s="231"/>
      <c r="TBU1" s="231"/>
      <c r="TBV1" s="231"/>
      <c r="TBW1" s="231"/>
      <c r="TBX1" s="231"/>
      <c r="TBY1" s="231"/>
      <c r="TBZ1" s="231"/>
      <c r="TCA1" s="231"/>
      <c r="TCB1" s="231"/>
      <c r="TCC1" s="231"/>
      <c r="TCD1" s="231"/>
      <c r="TCE1" s="231"/>
      <c r="TCF1" s="231"/>
      <c r="TCG1" s="231"/>
      <c r="TCH1" s="231"/>
      <c r="TCI1" s="231"/>
      <c r="TCJ1" s="231"/>
      <c r="TCK1" s="231"/>
      <c r="TCL1" s="231"/>
      <c r="TCM1" s="231"/>
      <c r="TCN1" s="231"/>
      <c r="TCO1" s="231"/>
      <c r="TCP1" s="231"/>
      <c r="TCQ1" s="231"/>
      <c r="TCR1" s="231"/>
      <c r="TCS1" s="231"/>
      <c r="TCT1" s="231"/>
      <c r="TCU1" s="231"/>
      <c r="TCV1" s="231"/>
      <c r="TCW1" s="231"/>
      <c r="TCX1" s="231"/>
      <c r="TCY1" s="231"/>
      <c r="TCZ1" s="231"/>
      <c r="TDA1" s="231"/>
      <c r="TDB1" s="231"/>
      <c r="TDC1" s="231"/>
      <c r="TDD1" s="231"/>
      <c r="TDE1" s="231"/>
      <c r="TDF1" s="231"/>
      <c r="TDG1" s="231"/>
      <c r="TDH1" s="231"/>
      <c r="TDI1" s="231"/>
      <c r="TDJ1" s="231"/>
      <c r="TDK1" s="231"/>
      <c r="TDL1" s="231"/>
      <c r="TDM1" s="231"/>
      <c r="TDN1" s="231"/>
      <c r="TDO1" s="231"/>
      <c r="TDP1" s="231"/>
      <c r="TDQ1" s="231"/>
      <c r="TDR1" s="231"/>
      <c r="TDS1" s="231"/>
      <c r="TDT1" s="231"/>
      <c r="TDU1" s="231"/>
      <c r="TDV1" s="231"/>
      <c r="TDW1" s="231"/>
      <c r="TDX1" s="231"/>
      <c r="TDY1" s="231"/>
      <c r="TDZ1" s="231"/>
      <c r="TEA1" s="231"/>
      <c r="TEB1" s="231"/>
      <c r="TEC1" s="231"/>
      <c r="TED1" s="231"/>
      <c r="TEE1" s="231"/>
      <c r="TEF1" s="231"/>
      <c r="TEG1" s="231"/>
      <c r="TEH1" s="231"/>
      <c r="TEI1" s="231"/>
      <c r="TEJ1" s="231"/>
      <c r="TEK1" s="231"/>
      <c r="TEL1" s="231"/>
      <c r="TEM1" s="231"/>
      <c r="TEN1" s="231"/>
      <c r="TEO1" s="231"/>
      <c r="TEP1" s="231"/>
      <c r="TEQ1" s="231"/>
      <c r="TER1" s="231"/>
      <c r="TES1" s="231"/>
      <c r="TET1" s="231"/>
      <c r="TEU1" s="231"/>
      <c r="TEV1" s="231"/>
      <c r="TEW1" s="231"/>
      <c r="TEX1" s="231"/>
      <c r="TEY1" s="231"/>
      <c r="TEZ1" s="231"/>
      <c r="TFA1" s="231"/>
      <c r="TFB1" s="231"/>
      <c r="TFC1" s="231"/>
      <c r="TFD1" s="231"/>
      <c r="TFE1" s="231"/>
      <c r="TFF1" s="231"/>
      <c r="TFG1" s="231"/>
      <c r="TFH1" s="231"/>
      <c r="TFI1" s="231"/>
      <c r="TFJ1" s="231"/>
      <c r="TFK1" s="231"/>
      <c r="TFL1" s="231"/>
      <c r="TFM1" s="231"/>
      <c r="TFN1" s="231"/>
      <c r="TFO1" s="231"/>
      <c r="TFP1" s="231"/>
      <c r="TFQ1" s="231"/>
      <c r="TFR1" s="231"/>
      <c r="TFS1" s="231"/>
      <c r="TFT1" s="231"/>
      <c r="TFU1" s="231"/>
      <c r="TFV1" s="231"/>
      <c r="TFW1" s="231"/>
      <c r="TFX1" s="231"/>
      <c r="TFY1" s="231"/>
      <c r="TFZ1" s="231"/>
      <c r="TGA1" s="231"/>
      <c r="TGB1" s="231"/>
      <c r="TGC1" s="231"/>
      <c r="TGD1" s="231"/>
      <c r="TGE1" s="231"/>
      <c r="TGF1" s="231"/>
      <c r="TGG1" s="231"/>
      <c r="TGH1" s="231"/>
      <c r="TGI1" s="231"/>
      <c r="TGJ1" s="231"/>
      <c r="TGK1" s="231"/>
      <c r="TGL1" s="231"/>
      <c r="TGM1" s="231"/>
      <c r="TGN1" s="231"/>
      <c r="TGO1" s="231"/>
      <c r="TGP1" s="231"/>
      <c r="TGQ1" s="231"/>
      <c r="TGR1" s="231"/>
      <c r="TGS1" s="231"/>
      <c r="TGT1" s="231"/>
      <c r="TGU1" s="231"/>
      <c r="TGV1" s="231"/>
      <c r="TGW1" s="231"/>
      <c r="TGX1" s="231"/>
      <c r="TGY1" s="231"/>
      <c r="TGZ1" s="231"/>
      <c r="THA1" s="231"/>
      <c r="THB1" s="231"/>
      <c r="THC1" s="231"/>
      <c r="THD1" s="231"/>
      <c r="THE1" s="231"/>
      <c r="THF1" s="231"/>
      <c r="THG1" s="231"/>
      <c r="THH1" s="231"/>
      <c r="THI1" s="231"/>
      <c r="THJ1" s="231"/>
      <c r="THK1" s="231"/>
      <c r="THL1" s="231"/>
      <c r="THM1" s="231"/>
      <c r="THN1" s="231"/>
      <c r="THO1" s="231"/>
      <c r="THP1" s="231"/>
      <c r="THQ1" s="231"/>
      <c r="THR1" s="231"/>
      <c r="THS1" s="231"/>
      <c r="THT1" s="231"/>
      <c r="THU1" s="231"/>
      <c r="THV1" s="231"/>
      <c r="THW1" s="231"/>
      <c r="THX1" s="231"/>
      <c r="THY1" s="231"/>
      <c r="THZ1" s="231"/>
      <c r="TIA1" s="231"/>
      <c r="TIB1" s="231"/>
      <c r="TIC1" s="231"/>
      <c r="TID1" s="231"/>
      <c r="TIE1" s="231"/>
      <c r="TIF1" s="231"/>
      <c r="TIG1" s="231"/>
      <c r="TIH1" s="231"/>
      <c r="TII1" s="231"/>
      <c r="TIJ1" s="231"/>
      <c r="TIK1" s="231"/>
      <c r="TIL1" s="231"/>
      <c r="TIM1" s="231"/>
      <c r="TIN1" s="231"/>
      <c r="TIO1" s="231"/>
      <c r="TIP1" s="231"/>
      <c r="TIQ1" s="231"/>
      <c r="TIR1" s="231"/>
      <c r="TIS1" s="231"/>
      <c r="TIT1" s="231"/>
      <c r="TIU1" s="231"/>
      <c r="TIV1" s="231"/>
      <c r="TIW1" s="231"/>
      <c r="TIX1" s="231"/>
      <c r="TIY1" s="231"/>
      <c r="TIZ1" s="231"/>
      <c r="TJA1" s="231"/>
      <c r="TJB1" s="231"/>
      <c r="TJC1" s="231"/>
      <c r="TJD1" s="231"/>
      <c r="TJE1" s="231"/>
      <c r="TJF1" s="231"/>
      <c r="TJG1" s="231"/>
      <c r="TJH1" s="231"/>
      <c r="TJI1" s="231"/>
      <c r="TJJ1" s="231"/>
      <c r="TJK1" s="231"/>
      <c r="TJL1" s="231"/>
      <c r="TJM1" s="231"/>
      <c r="TJN1" s="231"/>
      <c r="TJO1" s="231"/>
      <c r="TJP1" s="231"/>
      <c r="TJQ1" s="231"/>
      <c r="TJR1" s="231"/>
      <c r="TJS1" s="231"/>
      <c r="TJT1" s="231"/>
      <c r="TJU1" s="231"/>
      <c r="TJV1" s="231"/>
      <c r="TJW1" s="231"/>
      <c r="TJX1" s="231"/>
      <c r="TJY1" s="231"/>
      <c r="TJZ1" s="231"/>
      <c r="TKA1" s="231"/>
      <c r="TKB1" s="231"/>
      <c r="TKC1" s="231"/>
      <c r="TKD1" s="231"/>
      <c r="TKE1" s="231"/>
      <c r="TKF1" s="231"/>
      <c r="TKG1" s="231"/>
      <c r="TKH1" s="231"/>
      <c r="TKI1" s="231"/>
      <c r="TKJ1" s="231"/>
      <c r="TKK1" s="231"/>
      <c r="TKL1" s="231"/>
      <c r="TKM1" s="231"/>
      <c r="TKN1" s="231"/>
      <c r="TKO1" s="231"/>
      <c r="TKP1" s="231"/>
      <c r="TKQ1" s="231"/>
      <c r="TKR1" s="231"/>
      <c r="TKS1" s="231"/>
      <c r="TKT1" s="231"/>
      <c r="TKU1" s="231"/>
      <c r="TKV1" s="231"/>
      <c r="TKW1" s="231"/>
      <c r="TKX1" s="231"/>
      <c r="TKY1" s="231"/>
      <c r="TKZ1" s="231"/>
      <c r="TLA1" s="231"/>
      <c r="TLB1" s="231"/>
      <c r="TLC1" s="231"/>
      <c r="TLD1" s="231"/>
      <c r="TLE1" s="231"/>
      <c r="TLF1" s="231"/>
      <c r="TLG1" s="231"/>
      <c r="TLH1" s="231"/>
      <c r="TLI1" s="231"/>
      <c r="TLJ1" s="231"/>
      <c r="TLK1" s="231"/>
      <c r="TLL1" s="231"/>
      <c r="TLM1" s="231"/>
      <c r="TLN1" s="231"/>
      <c r="TLO1" s="231"/>
      <c r="TLP1" s="231"/>
      <c r="TLQ1" s="231"/>
      <c r="TLR1" s="231"/>
      <c r="TLS1" s="231"/>
      <c r="TLT1" s="231"/>
      <c r="TLU1" s="231"/>
      <c r="TLV1" s="231"/>
      <c r="TLW1" s="231"/>
      <c r="TLX1" s="231"/>
      <c r="TLY1" s="231"/>
      <c r="TLZ1" s="231"/>
      <c r="TMA1" s="231"/>
      <c r="TMB1" s="231"/>
      <c r="TMC1" s="231"/>
      <c r="TMD1" s="231"/>
      <c r="TME1" s="231"/>
      <c r="TMF1" s="231"/>
      <c r="TMG1" s="231"/>
      <c r="TMH1" s="231"/>
      <c r="TMI1" s="231"/>
      <c r="TMJ1" s="231"/>
      <c r="TMK1" s="231"/>
      <c r="TML1" s="231"/>
      <c r="TMM1" s="231"/>
      <c r="TMN1" s="231"/>
      <c r="TMO1" s="231"/>
      <c r="TMP1" s="231"/>
      <c r="TMQ1" s="231"/>
      <c r="TMR1" s="231"/>
      <c r="TMS1" s="231"/>
      <c r="TMT1" s="231"/>
      <c r="TMU1" s="231"/>
      <c r="TMV1" s="231"/>
      <c r="TMW1" s="231"/>
      <c r="TMX1" s="231"/>
      <c r="TMY1" s="231"/>
      <c r="TMZ1" s="231"/>
      <c r="TNA1" s="231"/>
      <c r="TNB1" s="231"/>
      <c r="TNC1" s="231"/>
      <c r="TND1" s="231"/>
      <c r="TNE1" s="231"/>
      <c r="TNF1" s="231"/>
      <c r="TNG1" s="231"/>
      <c r="TNH1" s="231"/>
      <c r="TNI1" s="231"/>
      <c r="TNJ1" s="231"/>
      <c r="TNK1" s="231"/>
      <c r="TNL1" s="231"/>
      <c r="TNM1" s="231"/>
      <c r="TNN1" s="231"/>
      <c r="TNO1" s="231"/>
      <c r="TNP1" s="231"/>
      <c r="TNQ1" s="231"/>
      <c r="TNR1" s="231"/>
      <c r="TNS1" s="231"/>
      <c r="TNT1" s="231"/>
      <c r="TNU1" s="231"/>
      <c r="TNV1" s="231"/>
      <c r="TNW1" s="231"/>
      <c r="TNX1" s="231"/>
      <c r="TNY1" s="231"/>
      <c r="TNZ1" s="231"/>
      <c r="TOA1" s="231"/>
      <c r="TOB1" s="231"/>
      <c r="TOC1" s="231"/>
      <c r="TOD1" s="231"/>
      <c r="TOE1" s="231"/>
      <c r="TOF1" s="231"/>
      <c r="TOG1" s="231"/>
      <c r="TOH1" s="231"/>
      <c r="TOI1" s="231"/>
      <c r="TOJ1" s="231"/>
      <c r="TOK1" s="231"/>
      <c r="TOL1" s="231"/>
      <c r="TOM1" s="231"/>
      <c r="TON1" s="231"/>
      <c r="TOO1" s="231"/>
      <c r="TOP1" s="231"/>
      <c r="TOQ1" s="231"/>
      <c r="TOR1" s="231"/>
      <c r="TOS1" s="231"/>
      <c r="TOT1" s="231"/>
      <c r="TOU1" s="231"/>
      <c r="TOV1" s="231"/>
      <c r="TOW1" s="231"/>
      <c r="TOX1" s="231"/>
      <c r="TOY1" s="231"/>
      <c r="TOZ1" s="231"/>
      <c r="TPA1" s="231"/>
      <c r="TPB1" s="231"/>
      <c r="TPC1" s="231"/>
      <c r="TPD1" s="231"/>
      <c r="TPE1" s="231"/>
      <c r="TPF1" s="231"/>
      <c r="TPG1" s="231"/>
      <c r="TPH1" s="231"/>
      <c r="TPI1" s="231"/>
      <c r="TPJ1" s="231"/>
      <c r="TPK1" s="231"/>
      <c r="TPL1" s="231"/>
      <c r="TPM1" s="231"/>
      <c r="TPN1" s="231"/>
      <c r="TPO1" s="231"/>
      <c r="TPP1" s="231"/>
      <c r="TPQ1" s="231"/>
      <c r="TPR1" s="231"/>
      <c r="TPS1" s="231"/>
      <c r="TPT1" s="231"/>
      <c r="TPU1" s="231"/>
      <c r="TPV1" s="231"/>
      <c r="TPW1" s="231"/>
      <c r="TPX1" s="231"/>
      <c r="TPY1" s="231"/>
      <c r="TPZ1" s="231"/>
      <c r="TQA1" s="231"/>
      <c r="TQB1" s="231"/>
      <c r="TQC1" s="231"/>
      <c r="TQD1" s="231"/>
      <c r="TQE1" s="231"/>
      <c r="TQF1" s="231"/>
      <c r="TQG1" s="231"/>
      <c r="TQH1" s="231"/>
      <c r="TQI1" s="231"/>
      <c r="TQJ1" s="231"/>
      <c r="TQK1" s="231"/>
      <c r="TQL1" s="231"/>
      <c r="TQM1" s="231"/>
      <c r="TQN1" s="231"/>
      <c r="TQO1" s="231"/>
      <c r="TQP1" s="231"/>
      <c r="TQQ1" s="231"/>
      <c r="TQR1" s="231"/>
      <c r="TQS1" s="231"/>
      <c r="TQT1" s="231"/>
      <c r="TQU1" s="231"/>
      <c r="TQV1" s="231"/>
      <c r="TQW1" s="231"/>
      <c r="TQX1" s="231"/>
      <c r="TQY1" s="231"/>
      <c r="TQZ1" s="231"/>
      <c r="TRA1" s="231"/>
      <c r="TRB1" s="231"/>
      <c r="TRC1" s="231"/>
      <c r="TRD1" s="231"/>
      <c r="TRE1" s="231"/>
      <c r="TRF1" s="231"/>
      <c r="TRG1" s="231"/>
      <c r="TRH1" s="231"/>
      <c r="TRI1" s="231"/>
      <c r="TRJ1" s="231"/>
      <c r="TRK1" s="231"/>
      <c r="TRL1" s="231"/>
      <c r="TRM1" s="231"/>
      <c r="TRN1" s="231"/>
      <c r="TRO1" s="231"/>
      <c r="TRP1" s="231"/>
      <c r="TRQ1" s="231"/>
      <c r="TRR1" s="231"/>
      <c r="TRS1" s="231"/>
      <c r="TRT1" s="231"/>
      <c r="TRU1" s="231"/>
      <c r="TRV1" s="231"/>
      <c r="TRW1" s="231"/>
      <c r="TRX1" s="231"/>
      <c r="TRY1" s="231"/>
      <c r="TRZ1" s="231"/>
      <c r="TSA1" s="231"/>
      <c r="TSB1" s="231"/>
      <c r="TSC1" s="231"/>
      <c r="TSD1" s="231"/>
      <c r="TSE1" s="231"/>
      <c r="TSF1" s="231"/>
      <c r="TSG1" s="231"/>
      <c r="TSH1" s="231"/>
      <c r="TSI1" s="231"/>
      <c r="TSJ1" s="231"/>
      <c r="TSK1" s="231"/>
      <c r="TSL1" s="231"/>
      <c r="TSM1" s="231"/>
      <c r="TSN1" s="231"/>
      <c r="TSO1" s="231"/>
      <c r="TSP1" s="231"/>
      <c r="TSQ1" s="231"/>
      <c r="TSR1" s="231"/>
      <c r="TSS1" s="231"/>
      <c r="TST1" s="231"/>
      <c r="TSU1" s="231"/>
      <c r="TSV1" s="231"/>
      <c r="TSW1" s="231"/>
      <c r="TSX1" s="231"/>
      <c r="TSY1" s="231"/>
      <c r="TSZ1" s="231"/>
      <c r="TTA1" s="231"/>
      <c r="TTB1" s="231"/>
      <c r="TTC1" s="231"/>
      <c r="TTD1" s="231"/>
      <c r="TTE1" s="231"/>
      <c r="TTF1" s="231"/>
      <c r="TTG1" s="231"/>
      <c r="TTH1" s="231"/>
      <c r="TTI1" s="231"/>
      <c r="TTJ1" s="231"/>
      <c r="TTK1" s="231"/>
      <c r="TTL1" s="231"/>
      <c r="TTM1" s="231"/>
      <c r="TTN1" s="231"/>
      <c r="TTO1" s="231"/>
      <c r="TTP1" s="231"/>
      <c r="TTQ1" s="231"/>
      <c r="TTR1" s="231"/>
      <c r="TTS1" s="231"/>
      <c r="TTT1" s="231"/>
      <c r="TTU1" s="231"/>
      <c r="TTV1" s="231"/>
      <c r="TTW1" s="231"/>
      <c r="TTX1" s="231"/>
      <c r="TTY1" s="231"/>
      <c r="TTZ1" s="231"/>
      <c r="TUA1" s="231"/>
      <c r="TUB1" s="231"/>
      <c r="TUC1" s="231"/>
      <c r="TUD1" s="231"/>
      <c r="TUE1" s="231"/>
      <c r="TUF1" s="231"/>
      <c r="TUG1" s="231"/>
      <c r="TUH1" s="231"/>
      <c r="TUI1" s="231"/>
      <c r="TUJ1" s="231"/>
      <c r="TUK1" s="231"/>
      <c r="TUL1" s="231"/>
      <c r="TUM1" s="231"/>
      <c r="TUN1" s="231"/>
      <c r="TUO1" s="231"/>
      <c r="TUP1" s="231"/>
      <c r="TUQ1" s="231"/>
      <c r="TUR1" s="231"/>
      <c r="TUS1" s="231"/>
      <c r="TUT1" s="231"/>
      <c r="TUU1" s="231"/>
      <c r="TUV1" s="231"/>
      <c r="TUW1" s="231"/>
      <c r="TUX1" s="231"/>
      <c r="TUY1" s="231"/>
      <c r="TUZ1" s="231"/>
      <c r="TVA1" s="231"/>
      <c r="TVB1" s="231"/>
      <c r="TVC1" s="231"/>
      <c r="TVD1" s="231"/>
      <c r="TVE1" s="231"/>
      <c r="TVF1" s="231"/>
      <c r="TVG1" s="231"/>
      <c r="TVH1" s="231"/>
      <c r="TVI1" s="231"/>
      <c r="TVJ1" s="231"/>
      <c r="TVK1" s="231"/>
      <c r="TVL1" s="231"/>
      <c r="TVM1" s="231"/>
      <c r="TVN1" s="231"/>
      <c r="TVO1" s="231"/>
      <c r="TVP1" s="231"/>
      <c r="TVQ1" s="231"/>
      <c r="TVR1" s="231"/>
      <c r="TVS1" s="231"/>
      <c r="TVT1" s="231"/>
      <c r="TVU1" s="231"/>
      <c r="TVV1" s="231"/>
      <c r="TVW1" s="231"/>
      <c r="TVX1" s="231"/>
      <c r="TVY1" s="231"/>
      <c r="TVZ1" s="231"/>
      <c r="TWA1" s="231"/>
      <c r="TWB1" s="231"/>
      <c r="TWC1" s="231"/>
      <c r="TWD1" s="231"/>
      <c r="TWE1" s="231"/>
      <c r="TWF1" s="231"/>
      <c r="TWG1" s="231"/>
      <c r="TWH1" s="231"/>
      <c r="TWI1" s="231"/>
      <c r="TWJ1" s="231"/>
      <c r="TWK1" s="231"/>
      <c r="TWL1" s="231"/>
      <c r="TWM1" s="231"/>
      <c r="TWN1" s="231"/>
      <c r="TWO1" s="231"/>
      <c r="TWP1" s="231"/>
      <c r="TWQ1" s="231"/>
      <c r="TWR1" s="231"/>
      <c r="TWS1" s="231"/>
      <c r="TWT1" s="231"/>
      <c r="TWU1" s="231"/>
      <c r="TWV1" s="231"/>
      <c r="TWW1" s="231"/>
      <c r="TWX1" s="231"/>
      <c r="TWY1" s="231"/>
      <c r="TWZ1" s="231"/>
      <c r="TXA1" s="231"/>
      <c r="TXB1" s="231"/>
      <c r="TXC1" s="231"/>
      <c r="TXD1" s="231"/>
      <c r="TXE1" s="231"/>
      <c r="TXF1" s="231"/>
      <c r="TXG1" s="231"/>
      <c r="TXH1" s="231"/>
      <c r="TXI1" s="231"/>
      <c r="TXJ1" s="231"/>
      <c r="TXK1" s="231"/>
      <c r="TXL1" s="231"/>
      <c r="TXM1" s="231"/>
      <c r="TXN1" s="231"/>
      <c r="TXO1" s="231"/>
      <c r="TXP1" s="231"/>
      <c r="TXQ1" s="231"/>
      <c r="TXR1" s="231"/>
      <c r="TXS1" s="231"/>
      <c r="TXT1" s="231"/>
      <c r="TXU1" s="231"/>
      <c r="TXV1" s="231"/>
      <c r="TXW1" s="231"/>
      <c r="TXX1" s="231"/>
      <c r="TXY1" s="231"/>
      <c r="TXZ1" s="231"/>
      <c r="TYA1" s="231"/>
      <c r="TYB1" s="231"/>
      <c r="TYC1" s="231"/>
      <c r="TYD1" s="231"/>
      <c r="TYE1" s="231"/>
      <c r="TYF1" s="231"/>
      <c r="TYG1" s="231"/>
      <c r="TYH1" s="231"/>
      <c r="TYI1" s="231"/>
      <c r="TYJ1" s="231"/>
      <c r="TYK1" s="231"/>
      <c r="TYL1" s="231"/>
      <c r="TYM1" s="231"/>
      <c r="TYN1" s="231"/>
      <c r="TYO1" s="231"/>
      <c r="TYP1" s="231"/>
      <c r="TYQ1" s="231"/>
      <c r="TYR1" s="231"/>
      <c r="TYS1" s="231"/>
      <c r="TYT1" s="231"/>
      <c r="TYU1" s="231"/>
      <c r="TYV1" s="231"/>
      <c r="TYW1" s="231"/>
      <c r="TYX1" s="231"/>
      <c r="TYY1" s="231"/>
      <c r="TYZ1" s="231"/>
      <c r="TZA1" s="231"/>
      <c r="TZB1" s="231"/>
      <c r="TZC1" s="231"/>
      <c r="TZD1" s="231"/>
      <c r="TZE1" s="231"/>
      <c r="TZF1" s="231"/>
      <c r="TZG1" s="231"/>
      <c r="TZH1" s="231"/>
      <c r="TZI1" s="231"/>
      <c r="TZJ1" s="231"/>
      <c r="TZK1" s="231"/>
      <c r="TZL1" s="231"/>
      <c r="TZM1" s="231"/>
      <c r="TZN1" s="231"/>
      <c r="TZO1" s="231"/>
      <c r="TZP1" s="231"/>
      <c r="TZQ1" s="231"/>
      <c r="TZR1" s="231"/>
      <c r="TZS1" s="231"/>
      <c r="TZT1" s="231"/>
      <c r="TZU1" s="231"/>
      <c r="TZV1" s="231"/>
      <c r="TZW1" s="231"/>
      <c r="TZX1" s="231"/>
      <c r="TZY1" s="231"/>
      <c r="TZZ1" s="231"/>
      <c r="UAA1" s="231"/>
      <c r="UAB1" s="231"/>
      <c r="UAC1" s="231"/>
      <c r="UAD1" s="231"/>
      <c r="UAE1" s="231"/>
      <c r="UAF1" s="231"/>
      <c r="UAG1" s="231"/>
      <c r="UAH1" s="231"/>
      <c r="UAI1" s="231"/>
      <c r="UAJ1" s="231"/>
      <c r="UAK1" s="231"/>
      <c r="UAL1" s="231"/>
      <c r="UAM1" s="231"/>
      <c r="UAN1" s="231"/>
      <c r="UAO1" s="231"/>
      <c r="UAP1" s="231"/>
      <c r="UAQ1" s="231"/>
      <c r="UAR1" s="231"/>
      <c r="UAS1" s="231"/>
      <c r="UAT1" s="231"/>
      <c r="UAU1" s="231"/>
      <c r="UAV1" s="231"/>
      <c r="UAW1" s="231"/>
      <c r="UAX1" s="231"/>
      <c r="UAY1" s="231"/>
      <c r="UAZ1" s="231"/>
      <c r="UBA1" s="231"/>
      <c r="UBB1" s="231"/>
      <c r="UBC1" s="231"/>
      <c r="UBD1" s="231"/>
      <c r="UBE1" s="231"/>
      <c r="UBF1" s="231"/>
      <c r="UBG1" s="231"/>
      <c r="UBH1" s="231"/>
      <c r="UBI1" s="231"/>
      <c r="UBJ1" s="231"/>
      <c r="UBK1" s="231"/>
      <c r="UBL1" s="231"/>
      <c r="UBM1" s="231"/>
      <c r="UBN1" s="231"/>
      <c r="UBO1" s="231"/>
      <c r="UBP1" s="231"/>
      <c r="UBQ1" s="231"/>
      <c r="UBR1" s="231"/>
      <c r="UBS1" s="231"/>
      <c r="UBT1" s="231"/>
      <c r="UBU1" s="231"/>
      <c r="UBV1" s="231"/>
      <c r="UBW1" s="231"/>
      <c r="UBX1" s="231"/>
      <c r="UBY1" s="231"/>
      <c r="UBZ1" s="231"/>
      <c r="UCA1" s="231"/>
      <c r="UCB1" s="231"/>
      <c r="UCC1" s="231"/>
      <c r="UCD1" s="231"/>
      <c r="UCE1" s="231"/>
      <c r="UCF1" s="231"/>
      <c r="UCG1" s="231"/>
      <c r="UCH1" s="231"/>
      <c r="UCI1" s="231"/>
      <c r="UCJ1" s="231"/>
      <c r="UCK1" s="231"/>
      <c r="UCL1" s="231"/>
      <c r="UCM1" s="231"/>
      <c r="UCN1" s="231"/>
      <c r="UCO1" s="231"/>
      <c r="UCP1" s="231"/>
      <c r="UCQ1" s="231"/>
      <c r="UCR1" s="231"/>
      <c r="UCS1" s="231"/>
      <c r="UCT1" s="231"/>
      <c r="UCU1" s="231"/>
      <c r="UCV1" s="231"/>
      <c r="UCW1" s="231"/>
      <c r="UCX1" s="231"/>
      <c r="UCY1" s="231"/>
      <c r="UCZ1" s="231"/>
      <c r="UDA1" s="231"/>
      <c r="UDB1" s="231"/>
      <c r="UDC1" s="231"/>
      <c r="UDD1" s="231"/>
      <c r="UDE1" s="231"/>
      <c r="UDF1" s="231"/>
      <c r="UDG1" s="231"/>
      <c r="UDH1" s="231"/>
      <c r="UDI1" s="231"/>
      <c r="UDJ1" s="231"/>
      <c r="UDK1" s="231"/>
      <c r="UDL1" s="231"/>
      <c r="UDM1" s="231"/>
      <c r="UDN1" s="231"/>
      <c r="UDO1" s="231"/>
      <c r="UDP1" s="231"/>
      <c r="UDQ1" s="231"/>
      <c r="UDR1" s="231"/>
      <c r="UDS1" s="231"/>
      <c r="UDT1" s="231"/>
      <c r="UDU1" s="231"/>
      <c r="UDV1" s="231"/>
      <c r="UDW1" s="231"/>
      <c r="UDX1" s="231"/>
      <c r="UDY1" s="231"/>
      <c r="UDZ1" s="231"/>
      <c r="UEA1" s="231"/>
      <c r="UEB1" s="231"/>
      <c r="UEC1" s="231"/>
      <c r="UED1" s="231"/>
      <c r="UEE1" s="231"/>
      <c r="UEF1" s="231"/>
      <c r="UEG1" s="231"/>
      <c r="UEH1" s="231"/>
      <c r="UEI1" s="231"/>
      <c r="UEJ1" s="231"/>
      <c r="UEK1" s="231"/>
      <c r="UEL1" s="231"/>
      <c r="UEM1" s="231"/>
      <c r="UEN1" s="231"/>
      <c r="UEO1" s="231"/>
      <c r="UEP1" s="231"/>
      <c r="UEQ1" s="231"/>
      <c r="UER1" s="231"/>
      <c r="UES1" s="231"/>
      <c r="UET1" s="231"/>
      <c r="UEU1" s="231"/>
      <c r="UEV1" s="231"/>
      <c r="UEW1" s="231"/>
      <c r="UEX1" s="231"/>
      <c r="UEY1" s="231"/>
      <c r="UEZ1" s="231"/>
      <c r="UFA1" s="231"/>
      <c r="UFB1" s="231"/>
      <c r="UFC1" s="231"/>
      <c r="UFD1" s="231"/>
      <c r="UFE1" s="231"/>
      <c r="UFF1" s="231"/>
      <c r="UFG1" s="231"/>
      <c r="UFH1" s="231"/>
      <c r="UFI1" s="231"/>
      <c r="UFJ1" s="231"/>
      <c r="UFK1" s="231"/>
      <c r="UFL1" s="231"/>
      <c r="UFM1" s="231"/>
      <c r="UFN1" s="231"/>
      <c r="UFO1" s="231"/>
      <c r="UFP1" s="231"/>
      <c r="UFQ1" s="231"/>
      <c r="UFR1" s="231"/>
      <c r="UFS1" s="231"/>
      <c r="UFT1" s="231"/>
      <c r="UFU1" s="231"/>
      <c r="UFV1" s="231"/>
      <c r="UFW1" s="231"/>
      <c r="UFX1" s="231"/>
      <c r="UFY1" s="231"/>
      <c r="UFZ1" s="231"/>
      <c r="UGA1" s="231"/>
      <c r="UGB1" s="231"/>
      <c r="UGC1" s="231"/>
      <c r="UGD1" s="231"/>
      <c r="UGE1" s="231"/>
      <c r="UGF1" s="231"/>
      <c r="UGG1" s="231"/>
      <c r="UGH1" s="231"/>
      <c r="UGI1" s="231"/>
      <c r="UGJ1" s="231"/>
      <c r="UGK1" s="231"/>
      <c r="UGL1" s="231"/>
      <c r="UGM1" s="231"/>
      <c r="UGN1" s="231"/>
      <c r="UGO1" s="231"/>
      <c r="UGP1" s="231"/>
      <c r="UGQ1" s="231"/>
      <c r="UGR1" s="231"/>
      <c r="UGS1" s="231"/>
      <c r="UGT1" s="231"/>
      <c r="UGU1" s="231"/>
      <c r="UGV1" s="231"/>
      <c r="UGW1" s="231"/>
      <c r="UGX1" s="231"/>
      <c r="UGY1" s="231"/>
      <c r="UGZ1" s="231"/>
      <c r="UHA1" s="231"/>
      <c r="UHB1" s="231"/>
      <c r="UHC1" s="231"/>
      <c r="UHD1" s="231"/>
      <c r="UHE1" s="231"/>
      <c r="UHF1" s="231"/>
      <c r="UHG1" s="231"/>
      <c r="UHH1" s="231"/>
      <c r="UHI1" s="231"/>
      <c r="UHJ1" s="231"/>
      <c r="UHK1" s="231"/>
      <c r="UHL1" s="231"/>
      <c r="UHM1" s="231"/>
      <c r="UHN1" s="231"/>
      <c r="UHO1" s="231"/>
      <c r="UHP1" s="231"/>
      <c r="UHQ1" s="231"/>
      <c r="UHR1" s="231"/>
      <c r="UHS1" s="231"/>
      <c r="UHT1" s="231"/>
      <c r="UHU1" s="231"/>
      <c r="UHV1" s="231"/>
      <c r="UHW1" s="231"/>
      <c r="UHX1" s="231"/>
      <c r="UHY1" s="231"/>
      <c r="UHZ1" s="231"/>
      <c r="UIA1" s="231"/>
      <c r="UIB1" s="231"/>
      <c r="UIC1" s="231"/>
      <c r="UID1" s="231"/>
      <c r="UIE1" s="231"/>
      <c r="UIF1" s="231"/>
      <c r="UIG1" s="231"/>
      <c r="UIH1" s="231"/>
      <c r="UII1" s="231"/>
      <c r="UIJ1" s="231"/>
      <c r="UIK1" s="231"/>
      <c r="UIL1" s="231"/>
      <c r="UIM1" s="231"/>
      <c r="UIN1" s="231"/>
      <c r="UIO1" s="231"/>
      <c r="UIP1" s="231"/>
      <c r="UIQ1" s="231"/>
      <c r="UIR1" s="231"/>
      <c r="UIS1" s="231"/>
      <c r="UIT1" s="231"/>
      <c r="UIU1" s="231"/>
      <c r="UIV1" s="231"/>
      <c r="UIW1" s="231"/>
      <c r="UIX1" s="231"/>
      <c r="UIY1" s="231"/>
      <c r="UIZ1" s="231"/>
      <c r="UJA1" s="231"/>
      <c r="UJB1" s="231"/>
      <c r="UJC1" s="231"/>
      <c r="UJD1" s="231"/>
      <c r="UJE1" s="231"/>
      <c r="UJF1" s="231"/>
      <c r="UJG1" s="231"/>
      <c r="UJH1" s="231"/>
      <c r="UJI1" s="231"/>
      <c r="UJJ1" s="231"/>
      <c r="UJK1" s="231"/>
      <c r="UJL1" s="231"/>
      <c r="UJM1" s="231"/>
      <c r="UJN1" s="231"/>
      <c r="UJO1" s="231"/>
      <c r="UJP1" s="231"/>
      <c r="UJQ1" s="231"/>
      <c r="UJR1" s="231"/>
      <c r="UJS1" s="231"/>
      <c r="UJT1" s="231"/>
      <c r="UJU1" s="231"/>
      <c r="UJV1" s="231"/>
      <c r="UJW1" s="231"/>
      <c r="UJX1" s="231"/>
      <c r="UJY1" s="231"/>
      <c r="UJZ1" s="231"/>
      <c r="UKA1" s="231"/>
      <c r="UKB1" s="231"/>
      <c r="UKC1" s="231"/>
      <c r="UKD1" s="231"/>
      <c r="UKE1" s="231"/>
      <c r="UKF1" s="231"/>
      <c r="UKG1" s="231"/>
      <c r="UKH1" s="231"/>
      <c r="UKI1" s="231"/>
      <c r="UKJ1" s="231"/>
      <c r="UKK1" s="231"/>
      <c r="UKL1" s="231"/>
      <c r="UKM1" s="231"/>
      <c r="UKN1" s="231"/>
      <c r="UKO1" s="231"/>
      <c r="UKP1" s="231"/>
      <c r="UKQ1" s="231"/>
      <c r="UKR1" s="231"/>
      <c r="UKS1" s="231"/>
      <c r="UKT1" s="231"/>
      <c r="UKU1" s="231"/>
      <c r="UKV1" s="231"/>
      <c r="UKW1" s="231"/>
      <c r="UKX1" s="231"/>
      <c r="UKY1" s="231"/>
      <c r="UKZ1" s="231"/>
      <c r="ULA1" s="231"/>
      <c r="ULB1" s="231"/>
      <c r="ULC1" s="231"/>
      <c r="ULD1" s="231"/>
      <c r="ULE1" s="231"/>
      <c r="ULF1" s="231"/>
      <c r="ULG1" s="231"/>
      <c r="ULH1" s="231"/>
      <c r="ULI1" s="231"/>
      <c r="ULJ1" s="231"/>
      <c r="ULK1" s="231"/>
      <c r="ULL1" s="231"/>
      <c r="ULM1" s="231"/>
      <c r="ULN1" s="231"/>
      <c r="ULO1" s="231"/>
      <c r="ULP1" s="231"/>
      <c r="ULQ1" s="231"/>
      <c r="ULR1" s="231"/>
      <c r="ULS1" s="231"/>
      <c r="ULT1" s="231"/>
      <c r="ULU1" s="231"/>
      <c r="ULV1" s="231"/>
      <c r="ULW1" s="231"/>
      <c r="ULX1" s="231"/>
      <c r="ULY1" s="231"/>
      <c r="ULZ1" s="231"/>
      <c r="UMA1" s="231"/>
      <c r="UMB1" s="231"/>
      <c r="UMC1" s="231"/>
      <c r="UMD1" s="231"/>
      <c r="UME1" s="231"/>
      <c r="UMF1" s="231"/>
      <c r="UMG1" s="231"/>
      <c r="UMH1" s="231"/>
      <c r="UMI1" s="231"/>
      <c r="UMJ1" s="231"/>
      <c r="UMK1" s="231"/>
      <c r="UML1" s="231"/>
      <c r="UMM1" s="231"/>
      <c r="UMN1" s="231"/>
      <c r="UMO1" s="231"/>
      <c r="UMP1" s="231"/>
      <c r="UMQ1" s="231"/>
      <c r="UMR1" s="231"/>
      <c r="UMS1" s="231"/>
      <c r="UMT1" s="231"/>
      <c r="UMU1" s="231"/>
      <c r="UMV1" s="231"/>
      <c r="UMW1" s="231"/>
      <c r="UMX1" s="231"/>
      <c r="UMY1" s="231"/>
      <c r="UMZ1" s="231"/>
      <c r="UNA1" s="231"/>
      <c r="UNB1" s="231"/>
      <c r="UNC1" s="231"/>
      <c r="UND1" s="231"/>
      <c r="UNE1" s="231"/>
      <c r="UNF1" s="231"/>
      <c r="UNG1" s="231"/>
      <c r="UNH1" s="231"/>
      <c r="UNI1" s="231"/>
      <c r="UNJ1" s="231"/>
      <c r="UNK1" s="231"/>
      <c r="UNL1" s="231"/>
      <c r="UNM1" s="231"/>
      <c r="UNN1" s="231"/>
      <c r="UNO1" s="231"/>
      <c r="UNP1" s="231"/>
      <c r="UNQ1" s="231"/>
      <c r="UNR1" s="231"/>
      <c r="UNS1" s="231"/>
      <c r="UNT1" s="231"/>
      <c r="UNU1" s="231"/>
      <c r="UNV1" s="231"/>
      <c r="UNW1" s="231"/>
      <c r="UNX1" s="231"/>
      <c r="UNY1" s="231"/>
      <c r="UNZ1" s="231"/>
      <c r="UOA1" s="231"/>
      <c r="UOB1" s="231"/>
      <c r="UOC1" s="231"/>
      <c r="UOD1" s="231"/>
      <c r="UOE1" s="231"/>
      <c r="UOF1" s="231"/>
      <c r="UOG1" s="231"/>
      <c r="UOH1" s="231"/>
      <c r="UOI1" s="231"/>
      <c r="UOJ1" s="231"/>
      <c r="UOK1" s="231"/>
      <c r="UOL1" s="231"/>
      <c r="UOM1" s="231"/>
      <c r="UON1" s="231"/>
      <c r="UOO1" s="231"/>
      <c r="UOP1" s="231"/>
      <c r="UOQ1" s="231"/>
      <c r="UOR1" s="231"/>
      <c r="UOS1" s="231"/>
      <c r="UOT1" s="231"/>
      <c r="UOU1" s="231"/>
      <c r="UOV1" s="231"/>
      <c r="UOW1" s="231"/>
      <c r="UOX1" s="231"/>
      <c r="UOY1" s="231"/>
      <c r="UOZ1" s="231"/>
      <c r="UPA1" s="231"/>
      <c r="UPB1" s="231"/>
      <c r="UPC1" s="231"/>
      <c r="UPD1" s="231"/>
      <c r="UPE1" s="231"/>
      <c r="UPF1" s="231"/>
      <c r="UPG1" s="231"/>
      <c r="UPH1" s="231"/>
      <c r="UPI1" s="231"/>
      <c r="UPJ1" s="231"/>
      <c r="UPK1" s="231"/>
      <c r="UPL1" s="231"/>
      <c r="UPM1" s="231"/>
      <c r="UPN1" s="231"/>
      <c r="UPO1" s="231"/>
      <c r="UPP1" s="231"/>
      <c r="UPQ1" s="231"/>
      <c r="UPR1" s="231"/>
      <c r="UPS1" s="231"/>
      <c r="UPT1" s="231"/>
      <c r="UPU1" s="231"/>
      <c r="UPV1" s="231"/>
      <c r="UPW1" s="231"/>
      <c r="UPX1" s="231"/>
      <c r="UPY1" s="231"/>
      <c r="UPZ1" s="231"/>
      <c r="UQA1" s="231"/>
      <c r="UQB1" s="231"/>
      <c r="UQC1" s="231"/>
      <c r="UQD1" s="231"/>
      <c r="UQE1" s="231"/>
      <c r="UQF1" s="231"/>
      <c r="UQG1" s="231"/>
      <c r="UQH1" s="231"/>
      <c r="UQI1" s="231"/>
      <c r="UQJ1" s="231"/>
      <c r="UQK1" s="231"/>
      <c r="UQL1" s="231"/>
      <c r="UQM1" s="231"/>
      <c r="UQN1" s="231"/>
      <c r="UQO1" s="231"/>
      <c r="UQP1" s="231"/>
      <c r="UQQ1" s="231"/>
      <c r="UQR1" s="231"/>
      <c r="UQS1" s="231"/>
      <c r="UQT1" s="231"/>
      <c r="UQU1" s="231"/>
      <c r="UQV1" s="231"/>
      <c r="UQW1" s="231"/>
      <c r="UQX1" s="231"/>
      <c r="UQY1" s="231"/>
      <c r="UQZ1" s="231"/>
      <c r="URA1" s="231"/>
      <c r="URB1" s="231"/>
      <c r="URC1" s="231"/>
      <c r="URD1" s="231"/>
      <c r="URE1" s="231"/>
      <c r="URF1" s="231"/>
      <c r="URG1" s="231"/>
      <c r="URH1" s="231"/>
      <c r="URI1" s="231"/>
      <c r="URJ1" s="231"/>
      <c r="URK1" s="231"/>
      <c r="URL1" s="231"/>
      <c r="URM1" s="231"/>
      <c r="URN1" s="231"/>
      <c r="URO1" s="231"/>
      <c r="URP1" s="231"/>
      <c r="URQ1" s="231"/>
      <c r="URR1" s="231"/>
      <c r="URS1" s="231"/>
      <c r="URT1" s="231"/>
      <c r="URU1" s="231"/>
      <c r="URV1" s="231"/>
      <c r="URW1" s="231"/>
      <c r="URX1" s="231"/>
      <c r="URY1" s="231"/>
      <c r="URZ1" s="231"/>
      <c r="USA1" s="231"/>
      <c r="USB1" s="231"/>
      <c r="USC1" s="231"/>
      <c r="USD1" s="231"/>
      <c r="USE1" s="231"/>
      <c r="USF1" s="231"/>
      <c r="USG1" s="231"/>
      <c r="USH1" s="231"/>
      <c r="USI1" s="231"/>
      <c r="USJ1" s="231"/>
      <c r="USK1" s="231"/>
      <c r="USL1" s="231"/>
      <c r="USM1" s="231"/>
      <c r="USN1" s="231"/>
      <c r="USO1" s="231"/>
      <c r="USP1" s="231"/>
      <c r="USQ1" s="231"/>
      <c r="USR1" s="231"/>
      <c r="USS1" s="231"/>
      <c r="UST1" s="231"/>
      <c r="USU1" s="231"/>
      <c r="USV1" s="231"/>
      <c r="USW1" s="231"/>
      <c r="USX1" s="231"/>
      <c r="USY1" s="231"/>
      <c r="USZ1" s="231"/>
      <c r="UTA1" s="231"/>
      <c r="UTB1" s="231"/>
      <c r="UTC1" s="231"/>
      <c r="UTD1" s="231"/>
      <c r="UTE1" s="231"/>
      <c r="UTF1" s="231"/>
      <c r="UTG1" s="231"/>
      <c r="UTH1" s="231"/>
      <c r="UTI1" s="231"/>
      <c r="UTJ1" s="231"/>
      <c r="UTK1" s="231"/>
      <c r="UTL1" s="231"/>
      <c r="UTM1" s="231"/>
      <c r="UTN1" s="231"/>
      <c r="UTO1" s="231"/>
      <c r="UTP1" s="231"/>
      <c r="UTQ1" s="231"/>
      <c r="UTR1" s="231"/>
      <c r="UTS1" s="231"/>
      <c r="UTT1" s="231"/>
      <c r="UTU1" s="231"/>
      <c r="UTV1" s="231"/>
      <c r="UTW1" s="231"/>
      <c r="UTX1" s="231"/>
      <c r="UTY1" s="231"/>
      <c r="UTZ1" s="231"/>
      <c r="UUA1" s="231"/>
      <c r="UUB1" s="231"/>
      <c r="UUC1" s="231"/>
      <c r="UUD1" s="231"/>
      <c r="UUE1" s="231"/>
      <c r="UUF1" s="231"/>
      <c r="UUG1" s="231"/>
      <c r="UUH1" s="231"/>
      <c r="UUI1" s="231"/>
      <c r="UUJ1" s="231"/>
      <c r="UUK1" s="231"/>
      <c r="UUL1" s="231"/>
      <c r="UUM1" s="231"/>
      <c r="UUN1" s="231"/>
      <c r="UUO1" s="231"/>
      <c r="UUP1" s="231"/>
      <c r="UUQ1" s="231"/>
      <c r="UUR1" s="231"/>
      <c r="UUS1" s="231"/>
      <c r="UUT1" s="231"/>
      <c r="UUU1" s="231"/>
      <c r="UUV1" s="231"/>
      <c r="UUW1" s="231"/>
      <c r="UUX1" s="231"/>
      <c r="UUY1" s="231"/>
      <c r="UUZ1" s="231"/>
      <c r="UVA1" s="231"/>
      <c r="UVB1" s="231"/>
      <c r="UVC1" s="231"/>
      <c r="UVD1" s="231"/>
      <c r="UVE1" s="231"/>
      <c r="UVF1" s="231"/>
      <c r="UVG1" s="231"/>
      <c r="UVH1" s="231"/>
      <c r="UVI1" s="231"/>
      <c r="UVJ1" s="231"/>
      <c r="UVK1" s="231"/>
      <c r="UVL1" s="231"/>
      <c r="UVM1" s="231"/>
      <c r="UVN1" s="231"/>
      <c r="UVO1" s="231"/>
      <c r="UVP1" s="231"/>
      <c r="UVQ1" s="231"/>
      <c r="UVR1" s="231"/>
      <c r="UVS1" s="231"/>
      <c r="UVT1" s="231"/>
      <c r="UVU1" s="231"/>
      <c r="UVV1" s="231"/>
      <c r="UVW1" s="231"/>
      <c r="UVX1" s="231"/>
      <c r="UVY1" s="231"/>
      <c r="UVZ1" s="231"/>
      <c r="UWA1" s="231"/>
      <c r="UWB1" s="231"/>
      <c r="UWC1" s="231"/>
      <c r="UWD1" s="231"/>
      <c r="UWE1" s="231"/>
      <c r="UWF1" s="231"/>
      <c r="UWG1" s="231"/>
      <c r="UWH1" s="231"/>
      <c r="UWI1" s="231"/>
      <c r="UWJ1" s="231"/>
      <c r="UWK1" s="231"/>
      <c r="UWL1" s="231"/>
      <c r="UWM1" s="231"/>
      <c r="UWN1" s="231"/>
      <c r="UWO1" s="231"/>
      <c r="UWP1" s="231"/>
      <c r="UWQ1" s="231"/>
      <c r="UWR1" s="231"/>
      <c r="UWS1" s="231"/>
      <c r="UWT1" s="231"/>
      <c r="UWU1" s="231"/>
      <c r="UWV1" s="231"/>
      <c r="UWW1" s="231"/>
      <c r="UWX1" s="231"/>
      <c r="UWY1" s="231"/>
      <c r="UWZ1" s="231"/>
      <c r="UXA1" s="231"/>
      <c r="UXB1" s="231"/>
      <c r="UXC1" s="231"/>
      <c r="UXD1" s="231"/>
      <c r="UXE1" s="231"/>
      <c r="UXF1" s="231"/>
      <c r="UXG1" s="231"/>
      <c r="UXH1" s="231"/>
      <c r="UXI1" s="231"/>
      <c r="UXJ1" s="231"/>
      <c r="UXK1" s="231"/>
      <c r="UXL1" s="231"/>
      <c r="UXM1" s="231"/>
      <c r="UXN1" s="231"/>
      <c r="UXO1" s="231"/>
      <c r="UXP1" s="231"/>
      <c r="UXQ1" s="231"/>
      <c r="UXR1" s="231"/>
      <c r="UXS1" s="231"/>
      <c r="UXT1" s="231"/>
      <c r="UXU1" s="231"/>
      <c r="UXV1" s="231"/>
      <c r="UXW1" s="231"/>
      <c r="UXX1" s="231"/>
      <c r="UXY1" s="231"/>
      <c r="UXZ1" s="231"/>
      <c r="UYA1" s="231"/>
      <c r="UYB1" s="231"/>
      <c r="UYC1" s="231"/>
      <c r="UYD1" s="231"/>
      <c r="UYE1" s="231"/>
      <c r="UYF1" s="231"/>
      <c r="UYG1" s="231"/>
      <c r="UYH1" s="231"/>
      <c r="UYI1" s="231"/>
      <c r="UYJ1" s="231"/>
      <c r="UYK1" s="231"/>
      <c r="UYL1" s="231"/>
      <c r="UYM1" s="231"/>
      <c r="UYN1" s="231"/>
      <c r="UYO1" s="231"/>
      <c r="UYP1" s="231"/>
      <c r="UYQ1" s="231"/>
      <c r="UYR1" s="231"/>
      <c r="UYS1" s="231"/>
      <c r="UYT1" s="231"/>
      <c r="UYU1" s="231"/>
      <c r="UYV1" s="231"/>
      <c r="UYW1" s="231"/>
      <c r="UYX1" s="231"/>
      <c r="UYY1" s="231"/>
      <c r="UYZ1" s="231"/>
      <c r="UZA1" s="231"/>
      <c r="UZB1" s="231"/>
      <c r="UZC1" s="231"/>
      <c r="UZD1" s="231"/>
      <c r="UZE1" s="231"/>
      <c r="UZF1" s="231"/>
      <c r="UZG1" s="231"/>
      <c r="UZH1" s="231"/>
      <c r="UZI1" s="231"/>
      <c r="UZJ1" s="231"/>
      <c r="UZK1" s="231"/>
      <c r="UZL1" s="231"/>
      <c r="UZM1" s="231"/>
      <c r="UZN1" s="231"/>
      <c r="UZO1" s="231"/>
      <c r="UZP1" s="231"/>
      <c r="UZQ1" s="231"/>
      <c r="UZR1" s="231"/>
      <c r="UZS1" s="231"/>
      <c r="UZT1" s="231"/>
      <c r="UZU1" s="231"/>
      <c r="UZV1" s="231"/>
      <c r="UZW1" s="231"/>
      <c r="UZX1" s="231"/>
      <c r="UZY1" s="231"/>
      <c r="UZZ1" s="231"/>
      <c r="VAA1" s="231"/>
      <c r="VAB1" s="231"/>
      <c r="VAC1" s="231"/>
      <c r="VAD1" s="231"/>
      <c r="VAE1" s="231"/>
      <c r="VAF1" s="231"/>
      <c r="VAG1" s="231"/>
      <c r="VAH1" s="231"/>
      <c r="VAI1" s="231"/>
      <c r="VAJ1" s="231"/>
      <c r="VAK1" s="231"/>
      <c r="VAL1" s="231"/>
      <c r="VAM1" s="231"/>
      <c r="VAN1" s="231"/>
      <c r="VAO1" s="231"/>
      <c r="VAP1" s="231"/>
      <c r="VAQ1" s="231"/>
      <c r="VAR1" s="231"/>
      <c r="VAS1" s="231"/>
      <c r="VAT1" s="231"/>
      <c r="VAU1" s="231"/>
      <c r="VAV1" s="231"/>
      <c r="VAW1" s="231"/>
      <c r="VAX1" s="231"/>
      <c r="VAY1" s="231"/>
      <c r="VAZ1" s="231"/>
      <c r="VBA1" s="231"/>
      <c r="VBB1" s="231"/>
      <c r="VBC1" s="231"/>
      <c r="VBD1" s="231"/>
      <c r="VBE1" s="231"/>
      <c r="VBF1" s="231"/>
      <c r="VBG1" s="231"/>
      <c r="VBH1" s="231"/>
      <c r="VBI1" s="231"/>
      <c r="VBJ1" s="231"/>
      <c r="VBK1" s="231"/>
      <c r="VBL1" s="231"/>
      <c r="VBM1" s="231"/>
      <c r="VBN1" s="231"/>
      <c r="VBO1" s="231"/>
      <c r="VBP1" s="231"/>
      <c r="VBQ1" s="231"/>
      <c r="VBR1" s="231"/>
      <c r="VBS1" s="231"/>
      <c r="VBT1" s="231"/>
      <c r="VBU1" s="231"/>
      <c r="VBV1" s="231"/>
      <c r="VBW1" s="231"/>
      <c r="VBX1" s="231"/>
      <c r="VBY1" s="231"/>
      <c r="VBZ1" s="231"/>
      <c r="VCA1" s="231"/>
      <c r="VCB1" s="231"/>
      <c r="VCC1" s="231"/>
      <c r="VCD1" s="231"/>
      <c r="VCE1" s="231"/>
      <c r="VCF1" s="231"/>
      <c r="VCG1" s="231"/>
      <c r="VCH1" s="231"/>
      <c r="VCI1" s="231"/>
      <c r="VCJ1" s="231"/>
      <c r="VCK1" s="231"/>
      <c r="VCL1" s="231"/>
      <c r="VCM1" s="231"/>
      <c r="VCN1" s="231"/>
      <c r="VCO1" s="231"/>
      <c r="VCP1" s="231"/>
      <c r="VCQ1" s="231"/>
      <c r="VCR1" s="231"/>
      <c r="VCS1" s="231"/>
      <c r="VCT1" s="231"/>
      <c r="VCU1" s="231"/>
      <c r="VCV1" s="231"/>
      <c r="VCW1" s="231"/>
      <c r="VCX1" s="231"/>
      <c r="VCY1" s="231"/>
      <c r="VCZ1" s="231"/>
      <c r="VDA1" s="231"/>
      <c r="VDB1" s="231"/>
      <c r="VDC1" s="231"/>
      <c r="VDD1" s="231"/>
      <c r="VDE1" s="231"/>
      <c r="VDF1" s="231"/>
      <c r="VDG1" s="231"/>
      <c r="VDH1" s="231"/>
      <c r="VDI1" s="231"/>
      <c r="VDJ1" s="231"/>
      <c r="VDK1" s="231"/>
      <c r="VDL1" s="231"/>
      <c r="VDM1" s="231"/>
      <c r="VDN1" s="231"/>
      <c r="VDO1" s="231"/>
      <c r="VDP1" s="231"/>
      <c r="VDQ1" s="231"/>
      <c r="VDR1" s="231"/>
      <c r="VDS1" s="231"/>
      <c r="VDT1" s="231"/>
      <c r="VDU1" s="231"/>
      <c r="VDV1" s="231"/>
      <c r="VDW1" s="231"/>
      <c r="VDX1" s="231"/>
      <c r="VDY1" s="231"/>
      <c r="VDZ1" s="231"/>
      <c r="VEA1" s="231"/>
      <c r="VEB1" s="231"/>
      <c r="VEC1" s="231"/>
      <c r="VED1" s="231"/>
      <c r="VEE1" s="231"/>
      <c r="VEF1" s="231"/>
      <c r="VEG1" s="231"/>
      <c r="VEH1" s="231"/>
      <c r="VEI1" s="231"/>
      <c r="VEJ1" s="231"/>
      <c r="VEK1" s="231"/>
      <c r="VEL1" s="231"/>
      <c r="VEM1" s="231"/>
      <c r="VEN1" s="231"/>
      <c r="VEO1" s="231"/>
      <c r="VEP1" s="231"/>
      <c r="VEQ1" s="231"/>
      <c r="VER1" s="231"/>
      <c r="VES1" s="231"/>
      <c r="VET1" s="231"/>
      <c r="VEU1" s="231"/>
      <c r="VEV1" s="231"/>
      <c r="VEW1" s="231"/>
      <c r="VEX1" s="231"/>
      <c r="VEY1" s="231"/>
      <c r="VEZ1" s="231"/>
      <c r="VFA1" s="231"/>
      <c r="VFB1" s="231"/>
      <c r="VFC1" s="231"/>
      <c r="VFD1" s="231"/>
      <c r="VFE1" s="231"/>
      <c r="VFF1" s="231"/>
      <c r="VFG1" s="231"/>
      <c r="VFH1" s="231"/>
      <c r="VFI1" s="231"/>
      <c r="VFJ1" s="231"/>
      <c r="VFK1" s="231"/>
      <c r="VFL1" s="231"/>
      <c r="VFM1" s="231"/>
      <c r="VFN1" s="231"/>
      <c r="VFO1" s="231"/>
      <c r="VFP1" s="231"/>
      <c r="VFQ1" s="231"/>
      <c r="VFR1" s="231"/>
      <c r="VFS1" s="231"/>
      <c r="VFT1" s="231"/>
      <c r="VFU1" s="231"/>
      <c r="VFV1" s="231"/>
      <c r="VFW1" s="231"/>
      <c r="VFX1" s="231"/>
      <c r="VFY1" s="231"/>
      <c r="VFZ1" s="231"/>
      <c r="VGA1" s="231"/>
      <c r="VGB1" s="231"/>
      <c r="VGC1" s="231"/>
      <c r="VGD1" s="231"/>
      <c r="VGE1" s="231"/>
      <c r="VGF1" s="231"/>
      <c r="VGG1" s="231"/>
      <c r="VGH1" s="231"/>
      <c r="VGI1" s="231"/>
      <c r="VGJ1" s="231"/>
      <c r="VGK1" s="231"/>
      <c r="VGL1" s="231"/>
      <c r="VGM1" s="231"/>
      <c r="VGN1" s="231"/>
      <c r="VGO1" s="231"/>
      <c r="VGP1" s="231"/>
      <c r="VGQ1" s="231"/>
      <c r="VGR1" s="231"/>
      <c r="VGS1" s="231"/>
      <c r="VGT1" s="231"/>
      <c r="VGU1" s="231"/>
      <c r="VGV1" s="231"/>
      <c r="VGW1" s="231"/>
      <c r="VGX1" s="231"/>
      <c r="VGY1" s="231"/>
      <c r="VGZ1" s="231"/>
      <c r="VHA1" s="231"/>
      <c r="VHB1" s="231"/>
      <c r="VHC1" s="231"/>
      <c r="VHD1" s="231"/>
      <c r="VHE1" s="231"/>
      <c r="VHF1" s="231"/>
      <c r="VHG1" s="231"/>
      <c r="VHH1" s="231"/>
      <c r="VHI1" s="231"/>
      <c r="VHJ1" s="231"/>
      <c r="VHK1" s="231"/>
      <c r="VHL1" s="231"/>
      <c r="VHM1" s="231"/>
      <c r="VHN1" s="231"/>
      <c r="VHO1" s="231"/>
      <c r="VHP1" s="231"/>
      <c r="VHQ1" s="231"/>
      <c r="VHR1" s="231"/>
      <c r="VHS1" s="231"/>
      <c r="VHT1" s="231"/>
      <c r="VHU1" s="231"/>
      <c r="VHV1" s="231"/>
      <c r="VHW1" s="231"/>
      <c r="VHX1" s="231"/>
      <c r="VHY1" s="231"/>
      <c r="VHZ1" s="231"/>
      <c r="VIA1" s="231"/>
      <c r="VIB1" s="231"/>
      <c r="VIC1" s="231"/>
      <c r="VID1" s="231"/>
      <c r="VIE1" s="231"/>
      <c r="VIF1" s="231"/>
      <c r="VIG1" s="231"/>
      <c r="VIH1" s="231"/>
      <c r="VII1" s="231"/>
      <c r="VIJ1" s="231"/>
      <c r="VIK1" s="231"/>
      <c r="VIL1" s="231"/>
      <c r="VIM1" s="231"/>
      <c r="VIN1" s="231"/>
      <c r="VIO1" s="231"/>
      <c r="VIP1" s="231"/>
      <c r="VIQ1" s="231"/>
      <c r="VIR1" s="231"/>
      <c r="VIS1" s="231"/>
      <c r="VIT1" s="231"/>
      <c r="VIU1" s="231"/>
      <c r="VIV1" s="231"/>
      <c r="VIW1" s="231"/>
      <c r="VIX1" s="231"/>
      <c r="VIY1" s="231"/>
      <c r="VIZ1" s="231"/>
      <c r="VJA1" s="231"/>
      <c r="VJB1" s="231"/>
      <c r="VJC1" s="231"/>
      <c r="VJD1" s="231"/>
      <c r="VJE1" s="231"/>
      <c r="VJF1" s="231"/>
      <c r="VJG1" s="231"/>
      <c r="VJH1" s="231"/>
      <c r="VJI1" s="231"/>
      <c r="VJJ1" s="231"/>
      <c r="VJK1" s="231"/>
      <c r="VJL1" s="231"/>
      <c r="VJM1" s="231"/>
      <c r="VJN1" s="231"/>
      <c r="VJO1" s="231"/>
      <c r="VJP1" s="231"/>
      <c r="VJQ1" s="231"/>
      <c r="VJR1" s="231"/>
      <c r="VJS1" s="231"/>
      <c r="VJT1" s="231"/>
      <c r="VJU1" s="231"/>
      <c r="VJV1" s="231"/>
      <c r="VJW1" s="231"/>
      <c r="VJX1" s="231"/>
      <c r="VJY1" s="231"/>
      <c r="VJZ1" s="231"/>
      <c r="VKA1" s="231"/>
      <c r="VKB1" s="231"/>
      <c r="VKC1" s="231"/>
      <c r="VKD1" s="231"/>
      <c r="VKE1" s="231"/>
      <c r="VKF1" s="231"/>
      <c r="VKG1" s="231"/>
      <c r="VKH1" s="231"/>
      <c r="VKI1" s="231"/>
      <c r="VKJ1" s="231"/>
      <c r="VKK1" s="231"/>
      <c r="VKL1" s="231"/>
      <c r="VKM1" s="231"/>
      <c r="VKN1" s="231"/>
      <c r="VKO1" s="231"/>
      <c r="VKP1" s="231"/>
      <c r="VKQ1" s="231"/>
      <c r="VKR1" s="231"/>
      <c r="VKS1" s="231"/>
      <c r="VKT1" s="231"/>
      <c r="VKU1" s="231"/>
      <c r="VKV1" s="231"/>
      <c r="VKW1" s="231"/>
      <c r="VKX1" s="231"/>
      <c r="VKY1" s="231"/>
      <c r="VKZ1" s="231"/>
      <c r="VLA1" s="231"/>
      <c r="VLB1" s="231"/>
      <c r="VLC1" s="231"/>
      <c r="VLD1" s="231"/>
      <c r="VLE1" s="231"/>
      <c r="VLF1" s="231"/>
      <c r="VLG1" s="231"/>
      <c r="VLH1" s="231"/>
      <c r="VLI1" s="231"/>
      <c r="VLJ1" s="231"/>
      <c r="VLK1" s="231"/>
      <c r="VLL1" s="231"/>
      <c r="VLM1" s="231"/>
      <c r="VLN1" s="231"/>
      <c r="VLO1" s="231"/>
      <c r="VLP1" s="231"/>
      <c r="VLQ1" s="231"/>
      <c r="VLR1" s="231"/>
      <c r="VLS1" s="231"/>
      <c r="VLT1" s="231"/>
      <c r="VLU1" s="231"/>
      <c r="VLV1" s="231"/>
      <c r="VLW1" s="231"/>
      <c r="VLX1" s="231"/>
      <c r="VLY1" s="231"/>
      <c r="VLZ1" s="231"/>
      <c r="VMA1" s="231"/>
      <c r="VMB1" s="231"/>
      <c r="VMC1" s="231"/>
      <c r="VMD1" s="231"/>
      <c r="VME1" s="231"/>
      <c r="VMF1" s="231"/>
      <c r="VMG1" s="231"/>
      <c r="VMH1" s="231"/>
      <c r="VMI1" s="231"/>
      <c r="VMJ1" s="231"/>
      <c r="VMK1" s="231"/>
      <c r="VML1" s="231"/>
      <c r="VMM1" s="231"/>
      <c r="VMN1" s="231"/>
      <c r="VMO1" s="231"/>
      <c r="VMP1" s="231"/>
      <c r="VMQ1" s="231"/>
      <c r="VMR1" s="231"/>
      <c r="VMS1" s="231"/>
      <c r="VMT1" s="231"/>
      <c r="VMU1" s="231"/>
      <c r="VMV1" s="231"/>
      <c r="VMW1" s="231"/>
      <c r="VMX1" s="231"/>
      <c r="VMY1" s="231"/>
      <c r="VMZ1" s="231"/>
      <c r="VNA1" s="231"/>
      <c r="VNB1" s="231"/>
      <c r="VNC1" s="231"/>
      <c r="VND1" s="231"/>
      <c r="VNE1" s="231"/>
      <c r="VNF1" s="231"/>
      <c r="VNG1" s="231"/>
      <c r="VNH1" s="231"/>
      <c r="VNI1" s="231"/>
      <c r="VNJ1" s="231"/>
      <c r="VNK1" s="231"/>
      <c r="VNL1" s="231"/>
      <c r="VNM1" s="231"/>
      <c r="VNN1" s="231"/>
      <c r="VNO1" s="231"/>
      <c r="VNP1" s="231"/>
      <c r="VNQ1" s="231"/>
      <c r="VNR1" s="231"/>
      <c r="VNS1" s="231"/>
      <c r="VNT1" s="231"/>
      <c r="VNU1" s="231"/>
      <c r="VNV1" s="231"/>
      <c r="VNW1" s="231"/>
      <c r="VNX1" s="231"/>
      <c r="VNY1" s="231"/>
      <c r="VNZ1" s="231"/>
      <c r="VOA1" s="231"/>
      <c r="VOB1" s="231"/>
      <c r="VOC1" s="231"/>
      <c r="VOD1" s="231"/>
      <c r="VOE1" s="231"/>
      <c r="VOF1" s="231"/>
      <c r="VOG1" s="231"/>
      <c r="VOH1" s="231"/>
      <c r="VOI1" s="231"/>
      <c r="VOJ1" s="231"/>
      <c r="VOK1" s="231"/>
      <c r="VOL1" s="231"/>
      <c r="VOM1" s="231"/>
      <c r="VON1" s="231"/>
      <c r="VOO1" s="231"/>
      <c r="VOP1" s="231"/>
      <c r="VOQ1" s="231"/>
      <c r="VOR1" s="231"/>
      <c r="VOS1" s="231"/>
      <c r="VOT1" s="231"/>
      <c r="VOU1" s="231"/>
      <c r="VOV1" s="231"/>
      <c r="VOW1" s="231"/>
      <c r="VOX1" s="231"/>
      <c r="VOY1" s="231"/>
      <c r="VOZ1" s="231"/>
      <c r="VPA1" s="231"/>
      <c r="VPB1" s="231"/>
      <c r="VPC1" s="231"/>
      <c r="VPD1" s="231"/>
      <c r="VPE1" s="231"/>
      <c r="VPF1" s="231"/>
      <c r="VPG1" s="231"/>
      <c r="VPH1" s="231"/>
      <c r="VPI1" s="231"/>
      <c r="VPJ1" s="231"/>
      <c r="VPK1" s="231"/>
      <c r="VPL1" s="231"/>
      <c r="VPM1" s="231"/>
      <c r="VPN1" s="231"/>
      <c r="VPO1" s="231"/>
      <c r="VPP1" s="231"/>
      <c r="VPQ1" s="231"/>
      <c r="VPR1" s="231"/>
      <c r="VPS1" s="231"/>
      <c r="VPT1" s="231"/>
      <c r="VPU1" s="231"/>
      <c r="VPV1" s="231"/>
      <c r="VPW1" s="231"/>
      <c r="VPX1" s="231"/>
      <c r="VPY1" s="231"/>
      <c r="VPZ1" s="231"/>
      <c r="VQA1" s="231"/>
      <c r="VQB1" s="231"/>
      <c r="VQC1" s="231"/>
      <c r="VQD1" s="231"/>
      <c r="VQE1" s="231"/>
      <c r="VQF1" s="231"/>
      <c r="VQG1" s="231"/>
      <c r="VQH1" s="231"/>
      <c r="VQI1" s="231"/>
      <c r="VQJ1" s="231"/>
      <c r="VQK1" s="231"/>
      <c r="VQL1" s="231"/>
      <c r="VQM1" s="231"/>
      <c r="VQN1" s="231"/>
      <c r="VQO1" s="231"/>
      <c r="VQP1" s="231"/>
      <c r="VQQ1" s="231"/>
      <c r="VQR1" s="231"/>
      <c r="VQS1" s="231"/>
      <c r="VQT1" s="231"/>
      <c r="VQU1" s="231"/>
      <c r="VQV1" s="231"/>
      <c r="VQW1" s="231"/>
      <c r="VQX1" s="231"/>
      <c r="VQY1" s="231"/>
      <c r="VQZ1" s="231"/>
      <c r="VRA1" s="231"/>
      <c r="VRB1" s="231"/>
      <c r="VRC1" s="231"/>
      <c r="VRD1" s="231"/>
      <c r="VRE1" s="231"/>
      <c r="VRF1" s="231"/>
      <c r="VRG1" s="231"/>
      <c r="VRH1" s="231"/>
      <c r="VRI1" s="231"/>
      <c r="VRJ1" s="231"/>
      <c r="VRK1" s="231"/>
      <c r="VRL1" s="231"/>
      <c r="VRM1" s="231"/>
      <c r="VRN1" s="231"/>
      <c r="VRO1" s="231"/>
      <c r="VRP1" s="231"/>
      <c r="VRQ1" s="231"/>
      <c r="VRR1" s="231"/>
      <c r="VRS1" s="231"/>
      <c r="VRT1" s="231"/>
      <c r="VRU1" s="231"/>
      <c r="VRV1" s="231"/>
      <c r="VRW1" s="231"/>
      <c r="VRX1" s="231"/>
      <c r="VRY1" s="231"/>
      <c r="VRZ1" s="231"/>
      <c r="VSA1" s="231"/>
      <c r="VSB1" s="231"/>
      <c r="VSC1" s="231"/>
      <c r="VSD1" s="231"/>
      <c r="VSE1" s="231"/>
      <c r="VSF1" s="231"/>
      <c r="VSG1" s="231"/>
      <c r="VSH1" s="231"/>
      <c r="VSI1" s="231"/>
      <c r="VSJ1" s="231"/>
      <c r="VSK1" s="231"/>
      <c r="VSL1" s="231"/>
      <c r="VSM1" s="231"/>
      <c r="VSN1" s="231"/>
      <c r="VSO1" s="231"/>
      <c r="VSP1" s="231"/>
      <c r="VSQ1" s="231"/>
      <c r="VSR1" s="231"/>
      <c r="VSS1" s="231"/>
      <c r="VST1" s="231"/>
      <c r="VSU1" s="231"/>
      <c r="VSV1" s="231"/>
      <c r="VSW1" s="231"/>
      <c r="VSX1" s="231"/>
      <c r="VSY1" s="231"/>
      <c r="VSZ1" s="231"/>
      <c r="VTA1" s="231"/>
      <c r="VTB1" s="231"/>
      <c r="VTC1" s="231"/>
      <c r="VTD1" s="231"/>
      <c r="VTE1" s="231"/>
      <c r="VTF1" s="231"/>
      <c r="VTG1" s="231"/>
      <c r="VTH1" s="231"/>
      <c r="VTI1" s="231"/>
      <c r="VTJ1" s="231"/>
      <c r="VTK1" s="231"/>
      <c r="VTL1" s="231"/>
      <c r="VTM1" s="231"/>
      <c r="VTN1" s="231"/>
      <c r="VTO1" s="231"/>
      <c r="VTP1" s="231"/>
      <c r="VTQ1" s="231"/>
      <c r="VTR1" s="231"/>
      <c r="VTS1" s="231"/>
      <c r="VTT1" s="231"/>
      <c r="VTU1" s="231"/>
      <c r="VTV1" s="231"/>
      <c r="VTW1" s="231"/>
      <c r="VTX1" s="231"/>
      <c r="VTY1" s="231"/>
      <c r="VTZ1" s="231"/>
      <c r="VUA1" s="231"/>
      <c r="VUB1" s="231"/>
      <c r="VUC1" s="231"/>
      <c r="VUD1" s="231"/>
      <c r="VUE1" s="231"/>
      <c r="VUF1" s="231"/>
      <c r="VUG1" s="231"/>
      <c r="VUH1" s="231"/>
      <c r="VUI1" s="231"/>
      <c r="VUJ1" s="231"/>
      <c r="VUK1" s="231"/>
      <c r="VUL1" s="231"/>
      <c r="VUM1" s="231"/>
      <c r="VUN1" s="231"/>
      <c r="VUO1" s="231"/>
      <c r="VUP1" s="231"/>
      <c r="VUQ1" s="231"/>
      <c r="VUR1" s="231"/>
      <c r="VUS1" s="231"/>
      <c r="VUT1" s="231"/>
      <c r="VUU1" s="231"/>
      <c r="VUV1" s="231"/>
      <c r="VUW1" s="231"/>
      <c r="VUX1" s="231"/>
      <c r="VUY1" s="231"/>
      <c r="VUZ1" s="231"/>
      <c r="VVA1" s="231"/>
      <c r="VVB1" s="231"/>
      <c r="VVC1" s="231"/>
      <c r="VVD1" s="231"/>
      <c r="VVE1" s="231"/>
      <c r="VVF1" s="231"/>
      <c r="VVG1" s="231"/>
      <c r="VVH1" s="231"/>
      <c r="VVI1" s="231"/>
      <c r="VVJ1" s="231"/>
      <c r="VVK1" s="231"/>
      <c r="VVL1" s="231"/>
      <c r="VVM1" s="231"/>
      <c r="VVN1" s="231"/>
      <c r="VVO1" s="231"/>
      <c r="VVP1" s="231"/>
      <c r="VVQ1" s="231"/>
      <c r="VVR1" s="231"/>
      <c r="VVS1" s="231"/>
      <c r="VVT1" s="231"/>
      <c r="VVU1" s="231"/>
      <c r="VVV1" s="231"/>
      <c r="VVW1" s="231"/>
      <c r="VVX1" s="231"/>
      <c r="VVY1" s="231"/>
      <c r="VVZ1" s="231"/>
      <c r="VWA1" s="231"/>
      <c r="VWB1" s="231"/>
      <c r="VWC1" s="231"/>
      <c r="VWD1" s="231"/>
      <c r="VWE1" s="231"/>
      <c r="VWF1" s="231"/>
      <c r="VWG1" s="231"/>
      <c r="VWH1" s="231"/>
      <c r="VWI1" s="231"/>
      <c r="VWJ1" s="231"/>
      <c r="VWK1" s="231"/>
      <c r="VWL1" s="231"/>
      <c r="VWM1" s="231"/>
      <c r="VWN1" s="231"/>
      <c r="VWO1" s="231"/>
      <c r="VWP1" s="231"/>
      <c r="VWQ1" s="231"/>
      <c r="VWR1" s="231"/>
      <c r="VWS1" s="231"/>
      <c r="VWT1" s="231"/>
      <c r="VWU1" s="231"/>
      <c r="VWV1" s="231"/>
      <c r="VWW1" s="231"/>
      <c r="VWX1" s="231"/>
      <c r="VWY1" s="231"/>
      <c r="VWZ1" s="231"/>
      <c r="VXA1" s="231"/>
      <c r="VXB1" s="231"/>
      <c r="VXC1" s="231"/>
      <c r="VXD1" s="231"/>
      <c r="VXE1" s="231"/>
      <c r="VXF1" s="231"/>
      <c r="VXG1" s="231"/>
      <c r="VXH1" s="231"/>
      <c r="VXI1" s="231"/>
      <c r="VXJ1" s="231"/>
      <c r="VXK1" s="231"/>
      <c r="VXL1" s="231"/>
      <c r="VXM1" s="231"/>
      <c r="VXN1" s="231"/>
      <c r="VXO1" s="231"/>
      <c r="VXP1" s="231"/>
      <c r="VXQ1" s="231"/>
      <c r="VXR1" s="231"/>
      <c r="VXS1" s="231"/>
      <c r="VXT1" s="231"/>
      <c r="VXU1" s="231"/>
      <c r="VXV1" s="231"/>
      <c r="VXW1" s="231"/>
      <c r="VXX1" s="231"/>
      <c r="VXY1" s="231"/>
      <c r="VXZ1" s="231"/>
      <c r="VYA1" s="231"/>
      <c r="VYB1" s="231"/>
      <c r="VYC1" s="231"/>
      <c r="VYD1" s="231"/>
      <c r="VYE1" s="231"/>
      <c r="VYF1" s="231"/>
      <c r="VYG1" s="231"/>
      <c r="VYH1" s="231"/>
      <c r="VYI1" s="231"/>
      <c r="VYJ1" s="231"/>
      <c r="VYK1" s="231"/>
      <c r="VYL1" s="231"/>
      <c r="VYM1" s="231"/>
      <c r="VYN1" s="231"/>
      <c r="VYO1" s="231"/>
      <c r="VYP1" s="231"/>
      <c r="VYQ1" s="231"/>
      <c r="VYR1" s="231"/>
      <c r="VYS1" s="231"/>
      <c r="VYT1" s="231"/>
      <c r="VYU1" s="231"/>
      <c r="VYV1" s="231"/>
      <c r="VYW1" s="231"/>
      <c r="VYX1" s="231"/>
      <c r="VYY1" s="231"/>
      <c r="VYZ1" s="231"/>
      <c r="VZA1" s="231"/>
      <c r="VZB1" s="231"/>
      <c r="VZC1" s="231"/>
      <c r="VZD1" s="231"/>
      <c r="VZE1" s="231"/>
      <c r="VZF1" s="231"/>
      <c r="VZG1" s="231"/>
      <c r="VZH1" s="231"/>
      <c r="VZI1" s="231"/>
      <c r="VZJ1" s="231"/>
      <c r="VZK1" s="231"/>
      <c r="VZL1" s="231"/>
      <c r="VZM1" s="231"/>
      <c r="VZN1" s="231"/>
      <c r="VZO1" s="231"/>
      <c r="VZP1" s="231"/>
      <c r="VZQ1" s="231"/>
      <c r="VZR1" s="231"/>
      <c r="VZS1" s="231"/>
      <c r="VZT1" s="231"/>
      <c r="VZU1" s="231"/>
      <c r="VZV1" s="231"/>
      <c r="VZW1" s="231"/>
      <c r="VZX1" s="231"/>
      <c r="VZY1" s="231"/>
      <c r="VZZ1" s="231"/>
      <c r="WAA1" s="231"/>
      <c r="WAB1" s="231"/>
      <c r="WAC1" s="231"/>
      <c r="WAD1" s="231"/>
      <c r="WAE1" s="231"/>
      <c r="WAF1" s="231"/>
      <c r="WAG1" s="231"/>
      <c r="WAH1" s="231"/>
      <c r="WAI1" s="231"/>
      <c r="WAJ1" s="231"/>
      <c r="WAK1" s="231"/>
      <c r="WAL1" s="231"/>
      <c r="WAM1" s="231"/>
      <c r="WAN1" s="231"/>
      <c r="WAO1" s="231"/>
      <c r="WAP1" s="231"/>
      <c r="WAQ1" s="231"/>
      <c r="WAR1" s="231"/>
      <c r="WAS1" s="231"/>
      <c r="WAT1" s="231"/>
      <c r="WAU1" s="231"/>
      <c r="WAV1" s="231"/>
      <c r="WAW1" s="231"/>
      <c r="WAX1" s="231"/>
      <c r="WAY1" s="231"/>
      <c r="WAZ1" s="231"/>
      <c r="WBA1" s="231"/>
      <c r="WBB1" s="231"/>
      <c r="WBC1" s="231"/>
      <c r="WBD1" s="231"/>
      <c r="WBE1" s="231"/>
      <c r="WBF1" s="231"/>
      <c r="WBG1" s="231"/>
      <c r="WBH1" s="231"/>
      <c r="WBI1" s="231"/>
      <c r="WBJ1" s="231"/>
      <c r="WBK1" s="231"/>
      <c r="WBL1" s="231"/>
      <c r="WBM1" s="231"/>
      <c r="WBN1" s="231"/>
      <c r="WBO1" s="231"/>
      <c r="WBP1" s="231"/>
      <c r="WBQ1" s="231"/>
      <c r="WBR1" s="231"/>
      <c r="WBS1" s="231"/>
      <c r="WBT1" s="231"/>
      <c r="WBU1" s="231"/>
      <c r="WBV1" s="231"/>
      <c r="WBW1" s="231"/>
      <c r="WBX1" s="231"/>
      <c r="WBY1" s="231"/>
      <c r="WBZ1" s="231"/>
      <c r="WCA1" s="231"/>
      <c r="WCB1" s="231"/>
      <c r="WCC1" s="231"/>
      <c r="WCD1" s="231"/>
      <c r="WCE1" s="231"/>
      <c r="WCF1" s="231"/>
      <c r="WCG1" s="231"/>
      <c r="WCH1" s="231"/>
      <c r="WCI1" s="231"/>
      <c r="WCJ1" s="231"/>
      <c r="WCK1" s="231"/>
      <c r="WCL1" s="231"/>
      <c r="WCM1" s="231"/>
      <c r="WCN1" s="231"/>
      <c r="WCO1" s="231"/>
      <c r="WCP1" s="231"/>
      <c r="WCQ1" s="231"/>
      <c r="WCR1" s="231"/>
      <c r="WCS1" s="231"/>
      <c r="WCT1" s="231"/>
      <c r="WCU1" s="231"/>
      <c r="WCV1" s="231"/>
      <c r="WCW1" s="231"/>
      <c r="WCX1" s="231"/>
      <c r="WCY1" s="231"/>
      <c r="WCZ1" s="231"/>
      <c r="WDA1" s="231"/>
      <c r="WDB1" s="231"/>
      <c r="WDC1" s="231"/>
      <c r="WDD1" s="231"/>
      <c r="WDE1" s="231"/>
      <c r="WDF1" s="231"/>
      <c r="WDG1" s="231"/>
      <c r="WDH1" s="231"/>
      <c r="WDI1" s="231"/>
      <c r="WDJ1" s="231"/>
      <c r="WDK1" s="231"/>
      <c r="WDL1" s="231"/>
      <c r="WDM1" s="231"/>
      <c r="WDN1" s="231"/>
      <c r="WDO1" s="231"/>
      <c r="WDP1" s="231"/>
      <c r="WDQ1" s="231"/>
      <c r="WDR1" s="231"/>
      <c r="WDS1" s="231"/>
      <c r="WDT1" s="231"/>
      <c r="WDU1" s="231"/>
      <c r="WDV1" s="231"/>
      <c r="WDW1" s="231"/>
      <c r="WDX1" s="231"/>
      <c r="WDY1" s="231"/>
      <c r="WDZ1" s="231"/>
      <c r="WEA1" s="231"/>
      <c r="WEB1" s="231"/>
      <c r="WEC1" s="231"/>
      <c r="WED1" s="231"/>
      <c r="WEE1" s="231"/>
      <c r="WEF1" s="231"/>
      <c r="WEG1" s="231"/>
      <c r="WEH1" s="231"/>
      <c r="WEI1" s="231"/>
      <c r="WEJ1" s="231"/>
      <c r="WEK1" s="231"/>
      <c r="WEL1" s="231"/>
      <c r="WEM1" s="231"/>
      <c r="WEN1" s="231"/>
      <c r="WEO1" s="231"/>
      <c r="WEP1" s="231"/>
      <c r="WEQ1" s="231"/>
      <c r="WER1" s="231"/>
      <c r="WES1" s="231"/>
      <c r="WET1" s="231"/>
      <c r="WEU1" s="231"/>
      <c r="WEV1" s="231"/>
      <c r="WEW1" s="231"/>
      <c r="WEX1" s="231"/>
      <c r="WEY1" s="231"/>
      <c r="WEZ1" s="231"/>
      <c r="WFA1" s="231"/>
      <c r="WFB1" s="231"/>
      <c r="WFC1" s="231"/>
      <c r="WFD1" s="231"/>
      <c r="WFE1" s="231"/>
      <c r="WFF1" s="231"/>
      <c r="WFG1" s="231"/>
      <c r="WFH1" s="231"/>
      <c r="WFI1" s="231"/>
      <c r="WFJ1" s="231"/>
      <c r="WFK1" s="231"/>
      <c r="WFL1" s="231"/>
      <c r="WFM1" s="231"/>
      <c r="WFN1" s="231"/>
      <c r="WFO1" s="231"/>
      <c r="WFP1" s="231"/>
      <c r="WFQ1" s="231"/>
      <c r="WFR1" s="231"/>
      <c r="WFS1" s="231"/>
      <c r="WFT1" s="231"/>
      <c r="WFU1" s="231"/>
      <c r="WFV1" s="231"/>
      <c r="WFW1" s="231"/>
      <c r="WFX1" s="231"/>
      <c r="WFY1" s="231"/>
      <c r="WFZ1" s="231"/>
      <c r="WGA1" s="231"/>
      <c r="WGB1" s="231"/>
      <c r="WGC1" s="231"/>
      <c r="WGD1" s="231"/>
      <c r="WGE1" s="231"/>
      <c r="WGF1" s="231"/>
      <c r="WGG1" s="231"/>
      <c r="WGH1" s="231"/>
      <c r="WGI1" s="231"/>
      <c r="WGJ1" s="231"/>
      <c r="WGK1" s="231"/>
      <c r="WGL1" s="231"/>
      <c r="WGM1" s="231"/>
      <c r="WGN1" s="231"/>
      <c r="WGO1" s="231"/>
      <c r="WGP1" s="231"/>
      <c r="WGQ1" s="231"/>
      <c r="WGR1" s="231"/>
      <c r="WGS1" s="231"/>
      <c r="WGT1" s="231"/>
      <c r="WGU1" s="231"/>
      <c r="WGV1" s="231"/>
      <c r="WGW1" s="231"/>
      <c r="WGX1" s="231"/>
      <c r="WGY1" s="231"/>
      <c r="WGZ1" s="231"/>
      <c r="WHA1" s="231"/>
      <c r="WHB1" s="231"/>
      <c r="WHC1" s="231"/>
      <c r="WHD1" s="231"/>
      <c r="WHE1" s="231"/>
      <c r="WHF1" s="231"/>
      <c r="WHG1" s="231"/>
      <c r="WHH1" s="231"/>
      <c r="WHI1" s="231"/>
      <c r="WHJ1" s="231"/>
      <c r="WHK1" s="231"/>
      <c r="WHL1" s="231"/>
      <c r="WHM1" s="231"/>
      <c r="WHN1" s="231"/>
      <c r="WHO1" s="231"/>
      <c r="WHP1" s="231"/>
      <c r="WHQ1" s="231"/>
      <c r="WHR1" s="231"/>
      <c r="WHS1" s="231"/>
      <c r="WHT1" s="231"/>
      <c r="WHU1" s="231"/>
      <c r="WHV1" s="231"/>
      <c r="WHW1" s="231"/>
      <c r="WHX1" s="231"/>
      <c r="WHY1" s="231"/>
      <c r="WHZ1" s="231"/>
      <c r="WIA1" s="231"/>
      <c r="WIB1" s="231"/>
      <c r="WIC1" s="231"/>
      <c r="WID1" s="231"/>
      <c r="WIE1" s="231"/>
      <c r="WIF1" s="231"/>
      <c r="WIG1" s="231"/>
      <c r="WIH1" s="231"/>
      <c r="WII1" s="231"/>
      <c r="WIJ1" s="231"/>
      <c r="WIK1" s="231"/>
      <c r="WIL1" s="231"/>
      <c r="WIM1" s="231"/>
      <c r="WIN1" s="231"/>
      <c r="WIO1" s="231"/>
      <c r="WIP1" s="231"/>
      <c r="WIQ1" s="231"/>
      <c r="WIR1" s="231"/>
      <c r="WIS1" s="231"/>
      <c r="WIT1" s="231"/>
      <c r="WIU1" s="231"/>
      <c r="WIV1" s="231"/>
      <c r="WIW1" s="231"/>
      <c r="WIX1" s="231"/>
      <c r="WIY1" s="231"/>
      <c r="WIZ1" s="231"/>
      <c r="WJA1" s="231"/>
      <c r="WJB1" s="231"/>
      <c r="WJC1" s="231"/>
      <c r="WJD1" s="231"/>
      <c r="WJE1" s="231"/>
      <c r="WJF1" s="231"/>
      <c r="WJG1" s="231"/>
      <c r="WJH1" s="231"/>
      <c r="WJI1" s="231"/>
      <c r="WJJ1" s="231"/>
      <c r="WJK1" s="231"/>
      <c r="WJL1" s="231"/>
      <c r="WJM1" s="231"/>
      <c r="WJN1" s="231"/>
      <c r="WJO1" s="231"/>
      <c r="WJP1" s="231"/>
      <c r="WJQ1" s="231"/>
      <c r="WJR1" s="231"/>
      <c r="WJS1" s="231"/>
      <c r="WJT1" s="231"/>
      <c r="WJU1" s="231"/>
      <c r="WJV1" s="231"/>
      <c r="WJW1" s="231"/>
      <c r="WJX1" s="231"/>
      <c r="WJY1" s="231"/>
      <c r="WJZ1" s="231"/>
      <c r="WKA1" s="231"/>
      <c r="WKB1" s="231"/>
      <c r="WKC1" s="231"/>
      <c r="WKD1" s="231"/>
      <c r="WKE1" s="231"/>
      <c r="WKF1" s="231"/>
      <c r="WKG1" s="231"/>
      <c r="WKH1" s="231"/>
      <c r="WKI1" s="231"/>
      <c r="WKJ1" s="231"/>
      <c r="WKK1" s="231"/>
      <c r="WKL1" s="231"/>
      <c r="WKM1" s="231"/>
      <c r="WKN1" s="231"/>
      <c r="WKO1" s="231"/>
      <c r="WKP1" s="231"/>
      <c r="WKQ1" s="231"/>
      <c r="WKR1" s="231"/>
      <c r="WKS1" s="231"/>
      <c r="WKT1" s="231"/>
      <c r="WKU1" s="231"/>
      <c r="WKV1" s="231"/>
      <c r="WKW1" s="231"/>
      <c r="WKX1" s="231"/>
      <c r="WKY1" s="231"/>
      <c r="WKZ1" s="231"/>
      <c r="WLA1" s="231"/>
      <c r="WLB1" s="231"/>
      <c r="WLC1" s="231"/>
      <c r="WLD1" s="231"/>
      <c r="WLE1" s="231"/>
      <c r="WLF1" s="231"/>
      <c r="WLG1" s="231"/>
      <c r="WLH1" s="231"/>
      <c r="WLI1" s="231"/>
      <c r="WLJ1" s="231"/>
      <c r="WLK1" s="231"/>
      <c r="WLL1" s="231"/>
      <c r="WLM1" s="231"/>
      <c r="WLN1" s="231"/>
      <c r="WLO1" s="231"/>
      <c r="WLP1" s="231"/>
      <c r="WLQ1" s="231"/>
      <c r="WLR1" s="231"/>
      <c r="WLS1" s="231"/>
      <c r="WLT1" s="231"/>
      <c r="WLU1" s="231"/>
      <c r="WLV1" s="231"/>
      <c r="WLW1" s="231"/>
      <c r="WLX1" s="231"/>
      <c r="WLY1" s="231"/>
      <c r="WLZ1" s="231"/>
      <c r="WMA1" s="231"/>
      <c r="WMB1" s="231"/>
      <c r="WMC1" s="231"/>
      <c r="WMD1" s="231"/>
      <c r="WME1" s="231"/>
      <c r="WMF1" s="231"/>
      <c r="WMG1" s="231"/>
      <c r="WMH1" s="231"/>
      <c r="WMI1" s="231"/>
      <c r="WMJ1" s="231"/>
      <c r="WMK1" s="231"/>
      <c r="WML1" s="231"/>
      <c r="WMM1" s="231"/>
      <c r="WMN1" s="231"/>
      <c r="WMO1" s="231"/>
      <c r="WMP1" s="231"/>
      <c r="WMQ1" s="231"/>
      <c r="WMR1" s="231"/>
      <c r="WMS1" s="231"/>
      <c r="WMT1" s="231"/>
      <c r="WMU1" s="231"/>
      <c r="WMV1" s="231"/>
      <c r="WMW1" s="231"/>
      <c r="WMX1" s="231"/>
      <c r="WMY1" s="231"/>
      <c r="WMZ1" s="231"/>
      <c r="WNA1" s="231"/>
      <c r="WNB1" s="231"/>
      <c r="WNC1" s="231"/>
      <c r="WND1" s="231"/>
      <c r="WNE1" s="231"/>
      <c r="WNF1" s="231"/>
      <c r="WNG1" s="231"/>
      <c r="WNH1" s="231"/>
      <c r="WNI1" s="231"/>
      <c r="WNJ1" s="231"/>
      <c r="WNK1" s="231"/>
      <c r="WNL1" s="231"/>
      <c r="WNM1" s="231"/>
      <c r="WNN1" s="231"/>
      <c r="WNO1" s="231"/>
      <c r="WNP1" s="231"/>
      <c r="WNQ1" s="231"/>
      <c r="WNR1" s="231"/>
      <c r="WNS1" s="231"/>
      <c r="WNT1" s="231"/>
      <c r="WNU1" s="231"/>
      <c r="WNV1" s="231"/>
      <c r="WNW1" s="231"/>
      <c r="WNX1" s="231"/>
      <c r="WNY1" s="231"/>
      <c r="WNZ1" s="231"/>
      <c r="WOA1" s="231"/>
      <c r="WOB1" s="231"/>
      <c r="WOC1" s="231"/>
      <c r="WOD1" s="231"/>
      <c r="WOE1" s="231"/>
      <c r="WOF1" s="231"/>
      <c r="WOG1" s="231"/>
      <c r="WOH1" s="231"/>
      <c r="WOI1" s="231"/>
      <c r="WOJ1" s="231"/>
      <c r="WOK1" s="231"/>
      <c r="WOL1" s="231"/>
      <c r="WOM1" s="231"/>
      <c r="WON1" s="231"/>
      <c r="WOO1" s="231"/>
      <c r="WOP1" s="231"/>
      <c r="WOQ1" s="231"/>
      <c r="WOR1" s="231"/>
      <c r="WOS1" s="231"/>
      <c r="WOT1" s="231"/>
      <c r="WOU1" s="231"/>
      <c r="WOV1" s="231"/>
      <c r="WOW1" s="231"/>
      <c r="WOX1" s="231"/>
      <c r="WOY1" s="231"/>
      <c r="WOZ1" s="231"/>
      <c r="WPA1" s="231"/>
      <c r="WPB1" s="231"/>
      <c r="WPC1" s="231"/>
      <c r="WPD1" s="231"/>
      <c r="WPE1" s="231"/>
      <c r="WPF1" s="231"/>
      <c r="WPG1" s="231"/>
      <c r="WPH1" s="231"/>
      <c r="WPI1" s="231"/>
      <c r="WPJ1" s="231"/>
      <c r="WPK1" s="231"/>
      <c r="WPL1" s="231"/>
      <c r="WPM1" s="231"/>
      <c r="WPN1" s="231"/>
      <c r="WPO1" s="231"/>
      <c r="WPP1" s="231"/>
      <c r="WPQ1" s="231"/>
      <c r="WPR1" s="231"/>
      <c r="WPS1" s="231"/>
      <c r="WPT1" s="231"/>
      <c r="WPU1" s="231"/>
      <c r="WPV1" s="231"/>
      <c r="WPW1" s="231"/>
      <c r="WPX1" s="231"/>
      <c r="WPY1" s="231"/>
      <c r="WPZ1" s="231"/>
      <c r="WQA1" s="231"/>
      <c r="WQB1" s="231"/>
      <c r="WQC1" s="231"/>
      <c r="WQD1" s="231"/>
      <c r="WQE1" s="231"/>
      <c r="WQF1" s="231"/>
      <c r="WQG1" s="231"/>
      <c r="WQH1" s="231"/>
      <c r="WQI1" s="231"/>
      <c r="WQJ1" s="231"/>
      <c r="WQK1" s="231"/>
      <c r="WQL1" s="231"/>
      <c r="WQM1" s="231"/>
      <c r="WQN1" s="231"/>
      <c r="WQO1" s="231"/>
      <c r="WQP1" s="231"/>
      <c r="WQQ1" s="231"/>
      <c r="WQR1" s="231"/>
      <c r="WQS1" s="231"/>
      <c r="WQT1" s="231"/>
      <c r="WQU1" s="231"/>
      <c r="WQV1" s="231"/>
      <c r="WQW1" s="231"/>
      <c r="WQX1" s="231"/>
      <c r="WQY1" s="231"/>
      <c r="WQZ1" s="231"/>
      <c r="WRA1" s="231"/>
      <c r="WRB1" s="231"/>
      <c r="WRC1" s="231"/>
      <c r="WRD1" s="231"/>
      <c r="WRE1" s="231"/>
      <c r="WRF1" s="231"/>
      <c r="WRG1" s="231"/>
      <c r="WRH1" s="231"/>
      <c r="WRI1" s="231"/>
      <c r="WRJ1" s="231"/>
      <c r="WRK1" s="231"/>
      <c r="WRL1" s="231"/>
      <c r="WRM1" s="231"/>
      <c r="WRN1" s="231"/>
      <c r="WRO1" s="231"/>
      <c r="WRP1" s="231"/>
      <c r="WRQ1" s="231"/>
      <c r="WRR1" s="231"/>
      <c r="WRS1" s="231"/>
      <c r="WRT1" s="231"/>
      <c r="WRU1" s="231"/>
      <c r="WRV1" s="231"/>
      <c r="WRW1" s="231"/>
      <c r="WRX1" s="231"/>
      <c r="WRY1" s="231"/>
      <c r="WRZ1" s="231"/>
      <c r="WSA1" s="231"/>
      <c r="WSB1" s="231"/>
      <c r="WSC1" s="231"/>
      <c r="WSD1" s="231"/>
      <c r="WSE1" s="231"/>
      <c r="WSF1" s="231"/>
      <c r="WSG1" s="231"/>
      <c r="WSH1" s="231"/>
      <c r="WSI1" s="231"/>
      <c r="WSJ1" s="231"/>
      <c r="WSK1" s="231"/>
      <c r="WSL1" s="231"/>
      <c r="WSM1" s="231"/>
      <c r="WSN1" s="231"/>
      <c r="WSO1" s="231"/>
      <c r="WSP1" s="231"/>
      <c r="WSQ1" s="231"/>
      <c r="WSR1" s="231"/>
      <c r="WSS1" s="231"/>
      <c r="WST1" s="231"/>
      <c r="WSU1" s="231"/>
      <c r="WSV1" s="231"/>
      <c r="WSW1" s="231"/>
      <c r="WSX1" s="231"/>
      <c r="WSY1" s="231"/>
      <c r="WSZ1" s="231"/>
      <c r="WTA1" s="231"/>
      <c r="WTB1" s="231"/>
      <c r="WTC1" s="231"/>
      <c r="WTD1" s="231"/>
      <c r="WTE1" s="231"/>
      <c r="WTF1" s="231"/>
      <c r="WTG1" s="231"/>
      <c r="WTH1" s="231"/>
      <c r="WTI1" s="231"/>
      <c r="WTJ1" s="231"/>
      <c r="WTK1" s="231"/>
      <c r="WTL1" s="231"/>
      <c r="WTM1" s="231"/>
      <c r="WTN1" s="231"/>
      <c r="WTO1" s="231"/>
      <c r="WTP1" s="231"/>
      <c r="WTQ1" s="231"/>
      <c r="WTR1" s="231"/>
      <c r="WTS1" s="231"/>
      <c r="WTT1" s="231"/>
      <c r="WTU1" s="231"/>
      <c r="WTV1" s="231"/>
      <c r="WTW1" s="231"/>
      <c r="WTX1" s="231"/>
      <c r="WTY1" s="231"/>
      <c r="WTZ1" s="231"/>
      <c r="WUA1" s="231"/>
      <c r="WUB1" s="231"/>
      <c r="WUC1" s="231"/>
      <c r="WUD1" s="231"/>
      <c r="WUE1" s="231"/>
      <c r="WUF1" s="231"/>
      <c r="WUG1" s="231"/>
      <c r="WUH1" s="231"/>
      <c r="WUI1" s="231"/>
      <c r="WUJ1" s="231"/>
      <c r="WUK1" s="231"/>
      <c r="WUL1" s="231"/>
      <c r="WUM1" s="231"/>
      <c r="WUN1" s="231"/>
      <c r="WUO1" s="231"/>
      <c r="WUP1" s="231"/>
      <c r="WUQ1" s="231"/>
      <c r="WUR1" s="231"/>
      <c r="WUS1" s="231"/>
      <c r="WUT1" s="231"/>
      <c r="WUU1" s="231"/>
      <c r="WUV1" s="231"/>
      <c r="WUW1" s="231"/>
      <c r="WUX1" s="231"/>
      <c r="WUY1" s="231"/>
      <c r="WUZ1" s="231"/>
      <c r="WVA1" s="231"/>
      <c r="WVB1" s="231"/>
      <c r="WVC1" s="231"/>
      <c r="WVD1" s="231"/>
      <c r="WVE1" s="231"/>
      <c r="WVF1" s="231"/>
      <c r="WVG1" s="231"/>
      <c r="WVH1" s="231"/>
      <c r="WVI1" s="231"/>
      <c r="WVJ1" s="231"/>
      <c r="WVK1" s="231"/>
      <c r="WVL1" s="231"/>
      <c r="WVM1" s="231"/>
      <c r="WVN1" s="231"/>
      <c r="WVO1" s="231"/>
      <c r="WVP1" s="231"/>
      <c r="WVQ1" s="231"/>
      <c r="WVR1" s="231"/>
      <c r="WVS1" s="231"/>
      <c r="WVT1" s="231"/>
      <c r="WVU1" s="231"/>
      <c r="WVV1" s="231"/>
      <c r="WVW1" s="231"/>
      <c r="WVX1" s="231"/>
      <c r="WVY1" s="231"/>
      <c r="WVZ1" s="231"/>
      <c r="WWA1" s="231"/>
      <c r="WWB1" s="231"/>
      <c r="WWC1" s="231"/>
      <c r="WWD1" s="231"/>
      <c r="WWE1" s="231"/>
      <c r="WWF1" s="231"/>
      <c r="WWG1" s="231"/>
      <c r="WWH1" s="231"/>
      <c r="WWI1" s="231"/>
      <c r="WWJ1" s="231"/>
      <c r="WWK1" s="231"/>
      <c r="WWL1" s="231"/>
      <c r="WWM1" s="231"/>
      <c r="WWN1" s="231"/>
      <c r="WWO1" s="231"/>
      <c r="WWP1" s="231"/>
      <c r="WWQ1" s="231"/>
      <c r="WWR1" s="231"/>
      <c r="WWS1" s="231"/>
      <c r="WWT1" s="231"/>
      <c r="WWU1" s="231"/>
      <c r="WWV1" s="231"/>
      <c r="WWW1" s="231"/>
      <c r="WWX1" s="231"/>
      <c r="WWY1" s="231"/>
      <c r="WWZ1" s="231"/>
      <c r="WXA1" s="231"/>
      <c r="WXB1" s="231"/>
      <c r="WXC1" s="231"/>
      <c r="WXD1" s="231"/>
      <c r="WXE1" s="231"/>
      <c r="WXF1" s="231"/>
      <c r="WXG1" s="231"/>
      <c r="WXH1" s="231"/>
      <c r="WXI1" s="231"/>
      <c r="WXJ1" s="231"/>
      <c r="WXK1" s="231"/>
      <c r="WXL1" s="231"/>
      <c r="WXM1" s="231"/>
      <c r="WXN1" s="231"/>
      <c r="WXO1" s="231"/>
      <c r="WXP1" s="231"/>
      <c r="WXQ1" s="231"/>
      <c r="WXR1" s="231"/>
      <c r="WXS1" s="231"/>
      <c r="WXT1" s="231"/>
      <c r="WXU1" s="231"/>
      <c r="WXV1" s="231"/>
      <c r="WXW1" s="231"/>
      <c r="WXX1" s="231"/>
      <c r="WXY1" s="231"/>
      <c r="WXZ1" s="231"/>
      <c r="WYA1" s="231"/>
      <c r="WYB1" s="231"/>
      <c r="WYC1" s="231"/>
      <c r="WYD1" s="231"/>
      <c r="WYE1" s="231"/>
      <c r="WYF1" s="231"/>
      <c r="WYG1" s="231"/>
      <c r="WYH1" s="231"/>
      <c r="WYI1" s="231"/>
      <c r="WYJ1" s="231"/>
      <c r="WYK1" s="231"/>
      <c r="WYL1" s="231"/>
      <c r="WYM1" s="231"/>
      <c r="WYN1" s="231"/>
      <c r="WYO1" s="231"/>
      <c r="WYP1" s="231"/>
      <c r="WYQ1" s="231"/>
      <c r="WYR1" s="231"/>
      <c r="WYS1" s="231"/>
      <c r="WYT1" s="231"/>
      <c r="WYU1" s="231"/>
      <c r="WYV1" s="231"/>
      <c r="WYW1" s="231"/>
      <c r="WYX1" s="231"/>
      <c r="WYY1" s="231"/>
      <c r="WYZ1" s="231"/>
      <c r="WZA1" s="231"/>
      <c r="WZB1" s="231"/>
      <c r="WZC1" s="231"/>
      <c r="WZD1" s="231"/>
      <c r="WZE1" s="231"/>
      <c r="WZF1" s="231"/>
      <c r="WZG1" s="231"/>
      <c r="WZH1" s="231"/>
      <c r="WZI1" s="231"/>
      <c r="WZJ1" s="231"/>
      <c r="WZK1" s="231"/>
      <c r="WZL1" s="231"/>
      <c r="WZM1" s="231"/>
      <c r="WZN1" s="231"/>
      <c r="WZO1" s="231"/>
      <c r="WZP1" s="231"/>
      <c r="WZQ1" s="231"/>
      <c r="WZR1" s="231"/>
      <c r="WZS1" s="231"/>
      <c r="WZT1" s="231"/>
      <c r="WZU1" s="231"/>
      <c r="WZV1" s="231"/>
      <c r="WZW1" s="231"/>
      <c r="WZX1" s="231"/>
      <c r="WZY1" s="231"/>
      <c r="WZZ1" s="231"/>
      <c r="XAA1" s="231"/>
      <c r="XAB1" s="231"/>
      <c r="XAC1" s="231"/>
      <c r="XAD1" s="231"/>
      <c r="XAE1" s="231"/>
      <c r="XAF1" s="231"/>
      <c r="XAG1" s="231"/>
      <c r="XAH1" s="231"/>
      <c r="XAI1" s="231"/>
      <c r="XAJ1" s="231"/>
      <c r="XAK1" s="231"/>
      <c r="XAL1" s="231"/>
      <c r="XAM1" s="231"/>
      <c r="XAN1" s="231"/>
      <c r="XAO1" s="231"/>
      <c r="XAP1" s="231"/>
      <c r="XAQ1" s="231"/>
      <c r="XAR1" s="231"/>
      <c r="XAS1" s="231"/>
      <c r="XAT1" s="231"/>
      <c r="XAU1" s="231"/>
      <c r="XAV1" s="231"/>
      <c r="XAW1" s="231"/>
      <c r="XAX1" s="231"/>
      <c r="XAY1" s="231"/>
      <c r="XAZ1" s="231"/>
      <c r="XBA1" s="231"/>
      <c r="XBB1" s="231"/>
      <c r="XBC1" s="231"/>
      <c r="XBD1" s="231"/>
      <c r="XBE1" s="231"/>
      <c r="XBF1" s="231"/>
      <c r="XBG1" s="231"/>
      <c r="XBH1" s="231"/>
      <c r="XBI1" s="231"/>
      <c r="XBJ1" s="231"/>
      <c r="XBK1" s="231"/>
      <c r="XBL1" s="231"/>
      <c r="XBM1" s="231"/>
      <c r="XBN1" s="231"/>
      <c r="XBO1" s="231"/>
      <c r="XBP1" s="231"/>
      <c r="XBQ1" s="231"/>
      <c r="XBR1" s="231"/>
      <c r="XBS1" s="231"/>
      <c r="XBT1" s="231"/>
      <c r="XBU1" s="231"/>
      <c r="XBV1" s="231"/>
      <c r="XBW1" s="231"/>
      <c r="XBX1" s="231"/>
      <c r="XBY1" s="231"/>
      <c r="XBZ1" s="231"/>
      <c r="XCA1" s="231"/>
      <c r="XCB1" s="231"/>
      <c r="XCC1" s="231"/>
      <c r="XCD1" s="231"/>
      <c r="XCE1" s="231"/>
      <c r="XCF1" s="231"/>
      <c r="XCG1" s="231"/>
      <c r="XCH1" s="231"/>
      <c r="XCI1" s="231"/>
      <c r="XCJ1" s="231"/>
      <c r="XCK1" s="231"/>
      <c r="XCL1" s="231"/>
      <c r="XCM1" s="231"/>
      <c r="XCN1" s="231"/>
      <c r="XCO1" s="231"/>
      <c r="XCP1" s="231"/>
      <c r="XCQ1" s="231"/>
      <c r="XCR1" s="231"/>
      <c r="XCS1" s="231"/>
      <c r="XCT1" s="231"/>
      <c r="XCU1" s="231"/>
      <c r="XCV1" s="231"/>
      <c r="XCW1" s="231"/>
      <c r="XCX1" s="231"/>
      <c r="XCY1" s="231"/>
      <c r="XCZ1" s="231"/>
      <c r="XDA1" s="231"/>
      <c r="XDB1" s="231"/>
      <c r="XDC1" s="231"/>
      <c r="XDD1" s="231"/>
      <c r="XDE1" s="231"/>
      <c r="XDF1" s="231"/>
      <c r="XDG1" s="231"/>
      <c r="XDH1" s="231"/>
      <c r="XDI1" s="231"/>
      <c r="XDJ1" s="231"/>
      <c r="XDK1" s="231"/>
      <c r="XDL1" s="231"/>
      <c r="XDM1" s="231"/>
      <c r="XDN1" s="231"/>
      <c r="XDO1" s="231"/>
      <c r="XDP1" s="231"/>
      <c r="XDQ1" s="231"/>
      <c r="XDR1" s="231"/>
      <c r="XDS1" s="231"/>
      <c r="XDT1" s="231"/>
      <c r="XDU1" s="231"/>
      <c r="XDV1" s="231"/>
      <c r="XDW1" s="231"/>
      <c r="XDX1" s="231"/>
      <c r="XDY1" s="231"/>
      <c r="XDZ1" s="231"/>
      <c r="XEA1" s="231"/>
      <c r="XEB1" s="231"/>
      <c r="XEC1" s="231"/>
      <c r="XED1" s="231"/>
      <c r="XEE1" s="231"/>
      <c r="XEF1" s="231"/>
      <c r="XEG1" s="231"/>
      <c r="XEH1" s="231"/>
      <c r="XEI1" s="231"/>
      <c r="XEJ1" s="231"/>
      <c r="XEK1" s="231"/>
      <c r="XEL1" s="231"/>
      <c r="XEM1" s="231"/>
      <c r="XEN1" s="231"/>
      <c r="XEO1" s="231"/>
      <c r="XEP1" s="231"/>
      <c r="XEQ1" s="231"/>
      <c r="XER1" s="231"/>
      <c r="XES1" s="231"/>
      <c r="XET1" s="231"/>
      <c r="XEU1" s="231"/>
      <c r="XEV1" s="231"/>
      <c r="XEW1" s="231"/>
      <c r="XEX1" s="231"/>
      <c r="XEY1" s="231"/>
      <c r="XEZ1" s="231"/>
      <c r="XFA1" s="231"/>
      <c r="XFB1" s="231"/>
      <c r="XFC1" s="231"/>
      <c r="XFD1" s="231"/>
    </row>
    <row r="2" spans="1:16384" ht="18" customHeight="1" x14ac:dyDescent="0.2">
      <c r="A2" s="287" t="s">
        <v>190</v>
      </c>
      <c r="B2" s="285" t="s">
        <v>191</v>
      </c>
      <c r="C2" s="286" t="s">
        <v>192</v>
      </c>
      <c r="D2" s="286" t="s">
        <v>1098</v>
      </c>
      <c r="E2" s="285" t="s">
        <v>193</v>
      </c>
      <c r="F2" s="285" t="s">
        <v>194</v>
      </c>
      <c r="G2" s="285" t="s">
        <v>1097</v>
      </c>
      <c r="H2" s="284" t="s">
        <v>1096</v>
      </c>
    </row>
    <row r="3" spans="1:16384" ht="51" x14ac:dyDescent="0.2">
      <c r="A3" s="232"/>
      <c r="C3" s="283" t="s">
        <v>195</v>
      </c>
      <c r="D3" s="282"/>
      <c r="E3" s="281"/>
      <c r="G3" s="280">
        <v>83</v>
      </c>
      <c r="H3" s="279">
        <v>46</v>
      </c>
      <c r="J3" s="233" t="s">
        <v>1095</v>
      </c>
      <c r="K3" s="233" t="s">
        <v>1094</v>
      </c>
    </row>
    <row r="4" spans="1:16384" x14ac:dyDescent="0.2">
      <c r="A4" s="277">
        <v>1</v>
      </c>
      <c r="B4" s="275" t="s">
        <v>196</v>
      </c>
      <c r="C4" s="275" t="s">
        <v>197</v>
      </c>
      <c r="D4" s="276" t="s">
        <v>1093</v>
      </c>
      <c r="E4" s="275" t="s">
        <v>114</v>
      </c>
      <c r="F4" s="275" t="s">
        <v>114</v>
      </c>
      <c r="G4" s="274">
        <v>92</v>
      </c>
      <c r="H4" s="273">
        <v>56</v>
      </c>
    </row>
    <row r="5" spans="1:16384" x14ac:dyDescent="0.2">
      <c r="A5" s="277">
        <v>2</v>
      </c>
      <c r="B5" s="275" t="s">
        <v>196</v>
      </c>
      <c r="C5" s="276" t="s">
        <v>198</v>
      </c>
      <c r="D5" s="276" t="s">
        <v>199</v>
      </c>
      <c r="E5" s="275" t="s">
        <v>200</v>
      </c>
      <c r="F5" s="275" t="s">
        <v>210</v>
      </c>
      <c r="G5" s="274">
        <v>100</v>
      </c>
      <c r="H5" s="273">
        <v>51</v>
      </c>
      <c r="J5" s="278">
        <f>AVERAGE(G4:G648)</f>
        <v>117.6015503875969</v>
      </c>
      <c r="K5" s="278">
        <f>AVERAGE(H4:H648)</f>
        <v>58.496124031007753</v>
      </c>
    </row>
    <row r="6" spans="1:16384" x14ac:dyDescent="0.2">
      <c r="A6" s="277">
        <v>2</v>
      </c>
      <c r="B6" s="275" t="s">
        <v>196</v>
      </c>
      <c r="C6" s="276" t="s">
        <v>198</v>
      </c>
      <c r="D6" s="276" t="s">
        <v>199</v>
      </c>
      <c r="E6" s="275" t="s">
        <v>211</v>
      </c>
      <c r="F6" s="275" t="s">
        <v>203</v>
      </c>
      <c r="G6" s="274">
        <v>128</v>
      </c>
      <c r="H6" s="273">
        <v>51</v>
      </c>
    </row>
    <row r="7" spans="1:16384" x14ac:dyDescent="0.2">
      <c r="A7" s="277">
        <v>2</v>
      </c>
      <c r="B7" s="275" t="s">
        <v>196</v>
      </c>
      <c r="C7" s="276" t="s">
        <v>198</v>
      </c>
      <c r="D7" s="276" t="s">
        <v>199</v>
      </c>
      <c r="E7" s="275" t="s">
        <v>204</v>
      </c>
      <c r="F7" s="275" t="s">
        <v>205</v>
      </c>
      <c r="G7" s="274">
        <v>100</v>
      </c>
      <c r="H7" s="273">
        <v>51</v>
      </c>
    </row>
    <row r="8" spans="1:16384" x14ac:dyDescent="0.2">
      <c r="A8" s="277">
        <v>3</v>
      </c>
      <c r="B8" s="275" t="s">
        <v>196</v>
      </c>
      <c r="C8" s="276" t="s">
        <v>206</v>
      </c>
      <c r="D8" s="276" t="s">
        <v>1092</v>
      </c>
      <c r="E8" s="275" t="s">
        <v>114</v>
      </c>
      <c r="F8" s="275" t="s">
        <v>114</v>
      </c>
      <c r="G8" s="274">
        <v>86</v>
      </c>
      <c r="H8" s="273">
        <v>51</v>
      </c>
    </row>
    <row r="9" spans="1:16384" x14ac:dyDescent="0.2">
      <c r="A9" s="277">
        <v>460</v>
      </c>
      <c r="B9" s="275" t="s">
        <v>196</v>
      </c>
      <c r="C9" s="276" t="s">
        <v>207</v>
      </c>
      <c r="D9" s="276" t="s">
        <v>207</v>
      </c>
      <c r="E9" s="275" t="s">
        <v>200</v>
      </c>
      <c r="F9" s="275" t="s">
        <v>208</v>
      </c>
      <c r="G9" s="274">
        <v>86</v>
      </c>
      <c r="H9" s="273">
        <v>51</v>
      </c>
    </row>
    <row r="10" spans="1:16384" x14ac:dyDescent="0.2">
      <c r="A10" s="277">
        <v>460</v>
      </c>
      <c r="B10" s="275" t="s">
        <v>196</v>
      </c>
      <c r="C10" s="276" t="s">
        <v>207</v>
      </c>
      <c r="D10" s="276" t="s">
        <v>207</v>
      </c>
      <c r="E10" s="275" t="s">
        <v>209</v>
      </c>
      <c r="F10" s="275" t="s">
        <v>210</v>
      </c>
      <c r="G10" s="274">
        <v>95</v>
      </c>
      <c r="H10" s="273">
        <v>51</v>
      </c>
    </row>
    <row r="11" spans="1:16384" x14ac:dyDescent="0.2">
      <c r="A11" s="277">
        <v>460</v>
      </c>
      <c r="B11" s="275" t="s">
        <v>196</v>
      </c>
      <c r="C11" s="276" t="s">
        <v>207</v>
      </c>
      <c r="D11" s="276" t="s">
        <v>207</v>
      </c>
      <c r="E11" s="275" t="s">
        <v>211</v>
      </c>
      <c r="F11" s="275" t="s">
        <v>205</v>
      </c>
      <c r="G11" s="274">
        <v>86</v>
      </c>
      <c r="H11" s="273">
        <v>51</v>
      </c>
    </row>
    <row r="12" spans="1:16384" x14ac:dyDescent="0.2">
      <c r="A12" s="277">
        <v>6</v>
      </c>
      <c r="B12" s="275" t="s">
        <v>212</v>
      </c>
      <c r="C12" s="276" t="s">
        <v>213</v>
      </c>
      <c r="D12" s="276" t="s">
        <v>214</v>
      </c>
      <c r="E12" s="275" t="s">
        <v>114</v>
      </c>
      <c r="F12" s="275" t="s">
        <v>114</v>
      </c>
      <c r="G12" s="274">
        <v>100</v>
      </c>
      <c r="H12" s="273">
        <v>46</v>
      </c>
    </row>
    <row r="13" spans="1:16384" x14ac:dyDescent="0.2">
      <c r="A13" s="277">
        <v>7</v>
      </c>
      <c r="B13" s="275" t="s">
        <v>212</v>
      </c>
      <c r="C13" s="276" t="s">
        <v>215</v>
      </c>
      <c r="D13" s="276" t="s">
        <v>216</v>
      </c>
      <c r="E13" s="275" t="s">
        <v>114</v>
      </c>
      <c r="F13" s="275" t="s">
        <v>114</v>
      </c>
      <c r="G13" s="274">
        <v>89</v>
      </c>
      <c r="H13" s="273">
        <v>61</v>
      </c>
    </row>
    <row r="14" spans="1:16384" ht="25.5" x14ac:dyDescent="0.2">
      <c r="A14" s="277">
        <v>9</v>
      </c>
      <c r="B14" s="275" t="s">
        <v>217</v>
      </c>
      <c r="C14" s="276" t="s">
        <v>218</v>
      </c>
      <c r="D14" s="276" t="s">
        <v>219</v>
      </c>
      <c r="E14" s="275" t="s">
        <v>200</v>
      </c>
      <c r="F14" s="275" t="s">
        <v>210</v>
      </c>
      <c r="G14" s="274">
        <v>83</v>
      </c>
      <c r="H14" s="273">
        <v>66</v>
      </c>
    </row>
    <row r="15" spans="1:16384" ht="25.5" x14ac:dyDescent="0.2">
      <c r="A15" s="277">
        <v>9</v>
      </c>
      <c r="B15" s="275" t="s">
        <v>217</v>
      </c>
      <c r="C15" s="276" t="s">
        <v>218</v>
      </c>
      <c r="D15" s="276" t="s">
        <v>219</v>
      </c>
      <c r="E15" s="275" t="s">
        <v>211</v>
      </c>
      <c r="F15" s="275" t="s">
        <v>205</v>
      </c>
      <c r="G15" s="274">
        <v>112</v>
      </c>
      <c r="H15" s="273">
        <v>66</v>
      </c>
    </row>
    <row r="16" spans="1:16384" x14ac:dyDescent="0.2">
      <c r="A16" s="277">
        <v>8</v>
      </c>
      <c r="B16" s="275" t="s">
        <v>217</v>
      </c>
      <c r="C16" s="276" t="s">
        <v>1091</v>
      </c>
      <c r="D16" s="276" t="s">
        <v>1090</v>
      </c>
      <c r="E16" s="275" t="s">
        <v>114</v>
      </c>
      <c r="F16" s="275" t="s">
        <v>114</v>
      </c>
      <c r="G16" s="274">
        <v>109</v>
      </c>
      <c r="H16" s="273">
        <v>61</v>
      </c>
    </row>
    <row r="17" spans="1:8" x14ac:dyDescent="0.2">
      <c r="A17" s="277">
        <v>10</v>
      </c>
      <c r="B17" s="275" t="s">
        <v>217</v>
      </c>
      <c r="C17" s="276" t="s">
        <v>222</v>
      </c>
      <c r="D17" s="276" t="s">
        <v>223</v>
      </c>
      <c r="E17" s="275" t="s">
        <v>200</v>
      </c>
      <c r="F17" s="275" t="s">
        <v>208</v>
      </c>
      <c r="G17" s="274">
        <v>106</v>
      </c>
      <c r="H17" s="273">
        <v>71</v>
      </c>
    </row>
    <row r="18" spans="1:8" x14ac:dyDescent="0.2">
      <c r="A18" s="277">
        <v>10</v>
      </c>
      <c r="B18" s="275" t="s">
        <v>217</v>
      </c>
      <c r="C18" s="276" t="s">
        <v>222</v>
      </c>
      <c r="D18" s="276" t="s">
        <v>223</v>
      </c>
      <c r="E18" s="275" t="s">
        <v>209</v>
      </c>
      <c r="F18" s="275" t="s">
        <v>258</v>
      </c>
      <c r="G18" s="274">
        <v>141</v>
      </c>
      <c r="H18" s="273">
        <v>71</v>
      </c>
    </row>
    <row r="19" spans="1:8" x14ac:dyDescent="0.2">
      <c r="A19" s="277">
        <v>10</v>
      </c>
      <c r="B19" s="275" t="s">
        <v>217</v>
      </c>
      <c r="C19" s="276" t="s">
        <v>222</v>
      </c>
      <c r="D19" s="276" t="s">
        <v>223</v>
      </c>
      <c r="E19" s="275" t="s">
        <v>259</v>
      </c>
      <c r="F19" s="275" t="s">
        <v>201</v>
      </c>
      <c r="G19" s="274">
        <v>113</v>
      </c>
      <c r="H19" s="273">
        <v>71</v>
      </c>
    </row>
    <row r="20" spans="1:8" x14ac:dyDescent="0.2">
      <c r="A20" s="277">
        <v>10</v>
      </c>
      <c r="B20" s="275" t="s">
        <v>217</v>
      </c>
      <c r="C20" s="276" t="s">
        <v>222</v>
      </c>
      <c r="D20" s="276" t="s">
        <v>223</v>
      </c>
      <c r="E20" s="275" t="s">
        <v>202</v>
      </c>
      <c r="F20" s="275" t="s">
        <v>226</v>
      </c>
      <c r="G20" s="274">
        <v>83</v>
      </c>
      <c r="H20" s="273">
        <v>71</v>
      </c>
    </row>
    <row r="21" spans="1:8" x14ac:dyDescent="0.2">
      <c r="A21" s="277">
        <v>10</v>
      </c>
      <c r="B21" s="275" t="s">
        <v>217</v>
      </c>
      <c r="C21" s="276" t="s">
        <v>222</v>
      </c>
      <c r="D21" s="276" t="s">
        <v>223</v>
      </c>
      <c r="E21" s="275" t="s">
        <v>227</v>
      </c>
      <c r="F21" s="275" t="s">
        <v>205</v>
      </c>
      <c r="G21" s="274">
        <v>106</v>
      </c>
      <c r="H21" s="273">
        <v>71</v>
      </c>
    </row>
    <row r="22" spans="1:8" x14ac:dyDescent="0.2">
      <c r="A22" s="277">
        <v>11</v>
      </c>
      <c r="B22" s="275" t="s">
        <v>217</v>
      </c>
      <c r="C22" s="276" t="s">
        <v>228</v>
      </c>
      <c r="D22" s="276" t="s">
        <v>229</v>
      </c>
      <c r="E22" s="275" t="s">
        <v>200</v>
      </c>
      <c r="F22" s="275" t="s">
        <v>210</v>
      </c>
      <c r="G22" s="274">
        <v>131</v>
      </c>
      <c r="H22" s="273">
        <v>66</v>
      </c>
    </row>
    <row r="23" spans="1:8" x14ac:dyDescent="0.2">
      <c r="A23" s="277">
        <v>11</v>
      </c>
      <c r="B23" s="275" t="s">
        <v>217</v>
      </c>
      <c r="C23" s="276" t="s">
        <v>228</v>
      </c>
      <c r="D23" s="276" t="s">
        <v>229</v>
      </c>
      <c r="E23" s="275" t="s">
        <v>211</v>
      </c>
      <c r="F23" s="275" t="s">
        <v>201</v>
      </c>
      <c r="G23" s="274">
        <v>150</v>
      </c>
      <c r="H23" s="273">
        <v>66</v>
      </c>
    </row>
    <row r="24" spans="1:8" x14ac:dyDescent="0.2">
      <c r="A24" s="277">
        <v>11</v>
      </c>
      <c r="B24" s="275" t="s">
        <v>217</v>
      </c>
      <c r="C24" s="276" t="s">
        <v>228</v>
      </c>
      <c r="D24" s="276" t="s">
        <v>229</v>
      </c>
      <c r="E24" s="275" t="s">
        <v>202</v>
      </c>
      <c r="F24" s="275" t="s">
        <v>205</v>
      </c>
      <c r="G24" s="274">
        <v>131</v>
      </c>
      <c r="H24" s="273">
        <v>66</v>
      </c>
    </row>
    <row r="25" spans="1:8" x14ac:dyDescent="0.2">
      <c r="A25" s="277">
        <v>12</v>
      </c>
      <c r="B25" s="275" t="s">
        <v>217</v>
      </c>
      <c r="C25" s="276" t="s">
        <v>230</v>
      </c>
      <c r="D25" s="276" t="s">
        <v>231</v>
      </c>
      <c r="E25" s="275" t="s">
        <v>200</v>
      </c>
      <c r="F25" s="275" t="s">
        <v>232</v>
      </c>
      <c r="G25" s="274">
        <v>86</v>
      </c>
      <c r="H25" s="273">
        <v>56</v>
      </c>
    </row>
    <row r="26" spans="1:8" x14ac:dyDescent="0.2">
      <c r="A26" s="277">
        <v>12</v>
      </c>
      <c r="B26" s="275" t="s">
        <v>217</v>
      </c>
      <c r="C26" s="276" t="s">
        <v>230</v>
      </c>
      <c r="D26" s="276" t="s">
        <v>231</v>
      </c>
      <c r="E26" s="275" t="s">
        <v>233</v>
      </c>
      <c r="F26" s="275" t="s">
        <v>201</v>
      </c>
      <c r="G26" s="274">
        <v>100</v>
      </c>
      <c r="H26" s="273">
        <v>56</v>
      </c>
    </row>
    <row r="27" spans="1:8" x14ac:dyDescent="0.2">
      <c r="A27" s="277">
        <v>12</v>
      </c>
      <c r="B27" s="275" t="s">
        <v>217</v>
      </c>
      <c r="C27" s="276" t="s">
        <v>230</v>
      </c>
      <c r="D27" s="276" t="s">
        <v>231</v>
      </c>
      <c r="E27" s="275" t="s">
        <v>202</v>
      </c>
      <c r="F27" s="275" t="s">
        <v>226</v>
      </c>
      <c r="G27" s="274">
        <v>83</v>
      </c>
      <c r="H27" s="273">
        <v>56</v>
      </c>
    </row>
    <row r="28" spans="1:8" x14ac:dyDescent="0.2">
      <c r="A28" s="277">
        <v>12</v>
      </c>
      <c r="B28" s="275" t="s">
        <v>217</v>
      </c>
      <c r="C28" s="276" t="s">
        <v>230</v>
      </c>
      <c r="D28" s="276" t="s">
        <v>231</v>
      </c>
      <c r="E28" s="275" t="s">
        <v>227</v>
      </c>
      <c r="F28" s="275" t="s">
        <v>205</v>
      </c>
      <c r="G28" s="274">
        <v>86</v>
      </c>
      <c r="H28" s="273">
        <v>56</v>
      </c>
    </row>
    <row r="29" spans="1:8" x14ac:dyDescent="0.2">
      <c r="A29" s="277">
        <v>14</v>
      </c>
      <c r="B29" s="275" t="s">
        <v>234</v>
      </c>
      <c r="C29" s="276" t="s">
        <v>235</v>
      </c>
      <c r="D29" s="276" t="s">
        <v>236</v>
      </c>
      <c r="E29" s="275" t="s">
        <v>114</v>
      </c>
      <c r="F29" s="275" t="s">
        <v>114</v>
      </c>
      <c r="G29" s="274">
        <v>122</v>
      </c>
      <c r="H29" s="273">
        <v>66</v>
      </c>
    </row>
    <row r="30" spans="1:8" x14ac:dyDescent="0.2">
      <c r="A30" s="277">
        <v>481</v>
      </c>
      <c r="B30" s="275" t="s">
        <v>234</v>
      </c>
      <c r="C30" s="276" t="s">
        <v>237</v>
      </c>
      <c r="D30" s="276" t="s">
        <v>1089</v>
      </c>
      <c r="E30" s="275" t="s">
        <v>114</v>
      </c>
      <c r="F30" s="275" t="s">
        <v>114</v>
      </c>
      <c r="G30" s="274">
        <v>92</v>
      </c>
      <c r="H30" s="273">
        <v>51</v>
      </c>
    </row>
    <row r="31" spans="1:8" x14ac:dyDescent="0.2">
      <c r="A31" s="277">
        <v>16</v>
      </c>
      <c r="B31" s="275" t="s">
        <v>234</v>
      </c>
      <c r="C31" s="276" t="s">
        <v>238</v>
      </c>
      <c r="D31" s="276" t="s">
        <v>239</v>
      </c>
      <c r="E31" s="275" t="s">
        <v>114</v>
      </c>
      <c r="F31" s="275" t="s">
        <v>114</v>
      </c>
      <c r="G31" s="274">
        <v>98</v>
      </c>
      <c r="H31" s="273">
        <v>56</v>
      </c>
    </row>
    <row r="32" spans="1:8" x14ac:dyDescent="0.2">
      <c r="A32" s="277">
        <v>20</v>
      </c>
      <c r="B32" s="275" t="s">
        <v>234</v>
      </c>
      <c r="C32" s="276" t="s">
        <v>240</v>
      </c>
      <c r="D32" s="276" t="s">
        <v>241</v>
      </c>
      <c r="E32" s="275" t="s">
        <v>114</v>
      </c>
      <c r="F32" s="275" t="s">
        <v>114</v>
      </c>
      <c r="G32" s="274">
        <v>100</v>
      </c>
      <c r="H32" s="273">
        <v>46</v>
      </c>
    </row>
    <row r="33" spans="1:8" x14ac:dyDescent="0.2">
      <c r="A33" s="277">
        <v>461</v>
      </c>
      <c r="B33" s="275" t="s">
        <v>234</v>
      </c>
      <c r="C33" s="276" t="s">
        <v>242</v>
      </c>
      <c r="D33" s="276" t="s">
        <v>243</v>
      </c>
      <c r="E33" s="275" t="s">
        <v>200</v>
      </c>
      <c r="F33" s="275" t="s">
        <v>253</v>
      </c>
      <c r="G33" s="274">
        <v>91</v>
      </c>
      <c r="H33" s="273">
        <v>61</v>
      </c>
    </row>
    <row r="34" spans="1:8" x14ac:dyDescent="0.2">
      <c r="A34" s="277">
        <v>461</v>
      </c>
      <c r="B34" s="275" t="s">
        <v>234</v>
      </c>
      <c r="C34" s="276" t="s">
        <v>242</v>
      </c>
      <c r="D34" s="276" t="s">
        <v>243</v>
      </c>
      <c r="E34" s="275" t="s">
        <v>254</v>
      </c>
      <c r="F34" s="275" t="s">
        <v>226</v>
      </c>
      <c r="G34" s="274">
        <v>109</v>
      </c>
      <c r="H34" s="273">
        <v>61</v>
      </c>
    </row>
    <row r="35" spans="1:8" x14ac:dyDescent="0.2">
      <c r="A35" s="277">
        <v>461</v>
      </c>
      <c r="B35" s="275" t="s">
        <v>234</v>
      </c>
      <c r="C35" s="276" t="s">
        <v>242</v>
      </c>
      <c r="D35" s="276" t="s">
        <v>243</v>
      </c>
      <c r="E35" s="275" t="s">
        <v>227</v>
      </c>
      <c r="F35" s="275" t="s">
        <v>205</v>
      </c>
      <c r="G35" s="274">
        <v>91</v>
      </c>
      <c r="H35" s="273">
        <v>61</v>
      </c>
    </row>
    <row r="36" spans="1:8" x14ac:dyDescent="0.2">
      <c r="A36" s="277">
        <v>21</v>
      </c>
      <c r="B36" s="275" t="s">
        <v>234</v>
      </c>
      <c r="C36" s="276" t="s">
        <v>244</v>
      </c>
      <c r="D36" s="276" t="s">
        <v>244</v>
      </c>
      <c r="E36" s="275" t="s">
        <v>114</v>
      </c>
      <c r="F36" s="275" t="s">
        <v>114</v>
      </c>
      <c r="G36" s="274">
        <v>89</v>
      </c>
      <c r="H36" s="273">
        <v>61</v>
      </c>
    </row>
    <row r="37" spans="1:8" ht="38.25" x14ac:dyDescent="0.2">
      <c r="A37" s="277">
        <v>22</v>
      </c>
      <c r="B37" s="275" t="s">
        <v>234</v>
      </c>
      <c r="C37" s="276" t="s">
        <v>245</v>
      </c>
      <c r="D37" s="276" t="s">
        <v>1088</v>
      </c>
      <c r="E37" s="275" t="s">
        <v>114</v>
      </c>
      <c r="F37" s="275" t="s">
        <v>114</v>
      </c>
      <c r="G37" s="274">
        <v>138</v>
      </c>
      <c r="H37" s="273">
        <v>71</v>
      </c>
    </row>
    <row r="38" spans="1:8" x14ac:dyDescent="0.2">
      <c r="A38" s="277">
        <v>23</v>
      </c>
      <c r="B38" s="275" t="s">
        <v>234</v>
      </c>
      <c r="C38" s="276" t="s">
        <v>246</v>
      </c>
      <c r="D38" s="276" t="s">
        <v>247</v>
      </c>
      <c r="E38" s="275" t="s">
        <v>200</v>
      </c>
      <c r="F38" s="275" t="s">
        <v>256</v>
      </c>
      <c r="G38" s="274">
        <v>102</v>
      </c>
      <c r="H38" s="273">
        <v>61</v>
      </c>
    </row>
    <row r="39" spans="1:8" x14ac:dyDescent="0.2">
      <c r="A39" s="277">
        <v>23</v>
      </c>
      <c r="B39" s="275" t="s">
        <v>234</v>
      </c>
      <c r="C39" s="276" t="s">
        <v>246</v>
      </c>
      <c r="D39" s="276" t="s">
        <v>247</v>
      </c>
      <c r="E39" s="275" t="s">
        <v>257</v>
      </c>
      <c r="F39" s="275" t="s">
        <v>258</v>
      </c>
      <c r="G39" s="274">
        <v>128</v>
      </c>
      <c r="H39" s="273">
        <v>61</v>
      </c>
    </row>
    <row r="40" spans="1:8" x14ac:dyDescent="0.2">
      <c r="A40" s="277">
        <v>23</v>
      </c>
      <c r="B40" s="275" t="s">
        <v>234</v>
      </c>
      <c r="C40" s="276" t="s">
        <v>246</v>
      </c>
      <c r="D40" s="276" t="s">
        <v>247</v>
      </c>
      <c r="E40" s="275" t="s">
        <v>259</v>
      </c>
      <c r="F40" s="275" t="s">
        <v>205</v>
      </c>
      <c r="G40" s="274">
        <v>102</v>
      </c>
      <c r="H40" s="273">
        <v>61</v>
      </c>
    </row>
    <row r="41" spans="1:8" x14ac:dyDescent="0.2">
      <c r="A41" s="277">
        <v>24</v>
      </c>
      <c r="B41" s="275" t="s">
        <v>234</v>
      </c>
      <c r="C41" s="276" t="s">
        <v>248</v>
      </c>
      <c r="D41" s="276" t="s">
        <v>249</v>
      </c>
      <c r="E41" s="275" t="s">
        <v>114</v>
      </c>
      <c r="F41" s="275" t="s">
        <v>114</v>
      </c>
      <c r="G41" s="274">
        <v>133</v>
      </c>
      <c r="H41" s="273">
        <v>56</v>
      </c>
    </row>
    <row r="42" spans="1:8" x14ac:dyDescent="0.2">
      <c r="A42" s="277">
        <v>25</v>
      </c>
      <c r="B42" s="275" t="s">
        <v>234</v>
      </c>
      <c r="C42" s="276" t="s">
        <v>250</v>
      </c>
      <c r="D42" s="276" t="s">
        <v>251</v>
      </c>
      <c r="E42" s="275" t="s">
        <v>114</v>
      </c>
      <c r="F42" s="275" t="s">
        <v>114</v>
      </c>
      <c r="G42" s="274">
        <v>85</v>
      </c>
      <c r="H42" s="273">
        <v>51</v>
      </c>
    </row>
    <row r="43" spans="1:8" x14ac:dyDescent="0.2">
      <c r="A43" s="277">
        <v>26</v>
      </c>
      <c r="B43" s="275" t="s">
        <v>234</v>
      </c>
      <c r="C43" s="276" t="s">
        <v>252</v>
      </c>
      <c r="D43" s="276" t="s">
        <v>252</v>
      </c>
      <c r="E43" s="275" t="s">
        <v>200</v>
      </c>
      <c r="F43" s="275" t="s">
        <v>253</v>
      </c>
      <c r="G43" s="274">
        <v>131</v>
      </c>
      <c r="H43" s="273">
        <v>71</v>
      </c>
    </row>
    <row r="44" spans="1:8" x14ac:dyDescent="0.2">
      <c r="A44" s="277">
        <v>26</v>
      </c>
      <c r="B44" s="275" t="s">
        <v>234</v>
      </c>
      <c r="C44" s="276" t="s">
        <v>252</v>
      </c>
      <c r="D44" s="276" t="s">
        <v>252</v>
      </c>
      <c r="E44" s="275" t="s">
        <v>254</v>
      </c>
      <c r="F44" s="275" t="s">
        <v>226</v>
      </c>
      <c r="G44" s="274">
        <v>166</v>
      </c>
      <c r="H44" s="273">
        <v>71</v>
      </c>
    </row>
    <row r="45" spans="1:8" x14ac:dyDescent="0.2">
      <c r="A45" s="277">
        <v>26</v>
      </c>
      <c r="B45" s="275" t="s">
        <v>234</v>
      </c>
      <c r="C45" s="276" t="s">
        <v>252</v>
      </c>
      <c r="D45" s="276" t="s">
        <v>252</v>
      </c>
      <c r="E45" s="275" t="s">
        <v>227</v>
      </c>
      <c r="F45" s="275" t="s">
        <v>205</v>
      </c>
      <c r="G45" s="274">
        <v>131</v>
      </c>
      <c r="H45" s="273">
        <v>71</v>
      </c>
    </row>
    <row r="46" spans="1:8" x14ac:dyDescent="0.2">
      <c r="A46" s="277">
        <v>27</v>
      </c>
      <c r="B46" s="275" t="s">
        <v>234</v>
      </c>
      <c r="C46" s="276" t="s">
        <v>255</v>
      </c>
      <c r="D46" s="276" t="s">
        <v>255</v>
      </c>
      <c r="E46" s="275" t="s">
        <v>200</v>
      </c>
      <c r="F46" s="275" t="s">
        <v>256</v>
      </c>
      <c r="G46" s="274">
        <v>171</v>
      </c>
      <c r="H46" s="273">
        <v>66</v>
      </c>
    </row>
    <row r="47" spans="1:8" x14ac:dyDescent="0.2">
      <c r="A47" s="277">
        <v>27</v>
      </c>
      <c r="B47" s="275" t="s">
        <v>234</v>
      </c>
      <c r="C47" s="276" t="s">
        <v>255</v>
      </c>
      <c r="D47" s="276" t="s">
        <v>255</v>
      </c>
      <c r="E47" s="275" t="s">
        <v>257</v>
      </c>
      <c r="F47" s="275" t="s">
        <v>232</v>
      </c>
      <c r="G47" s="274">
        <v>131</v>
      </c>
      <c r="H47" s="273">
        <v>66</v>
      </c>
    </row>
    <row r="48" spans="1:8" x14ac:dyDescent="0.2">
      <c r="A48" s="277">
        <v>27</v>
      </c>
      <c r="B48" s="275" t="s">
        <v>234</v>
      </c>
      <c r="C48" s="276" t="s">
        <v>255</v>
      </c>
      <c r="D48" s="276" t="s">
        <v>255</v>
      </c>
      <c r="E48" s="275" t="s">
        <v>233</v>
      </c>
      <c r="F48" s="275" t="s">
        <v>205</v>
      </c>
      <c r="G48" s="274">
        <v>171</v>
      </c>
      <c r="H48" s="273">
        <v>66</v>
      </c>
    </row>
    <row r="49" spans="1:8" x14ac:dyDescent="0.2">
      <c r="A49" s="277">
        <v>28</v>
      </c>
      <c r="B49" s="275" t="s">
        <v>234</v>
      </c>
      <c r="C49" s="276" t="s">
        <v>260</v>
      </c>
      <c r="D49" s="276" t="s">
        <v>261</v>
      </c>
      <c r="E49" s="275" t="s">
        <v>200</v>
      </c>
      <c r="F49" s="275" t="s">
        <v>201</v>
      </c>
      <c r="G49" s="274">
        <v>87</v>
      </c>
      <c r="H49" s="273">
        <v>56</v>
      </c>
    </row>
    <row r="50" spans="1:8" x14ac:dyDescent="0.2">
      <c r="A50" s="277">
        <v>28</v>
      </c>
      <c r="B50" s="275" t="s">
        <v>234</v>
      </c>
      <c r="C50" s="276" t="s">
        <v>260</v>
      </c>
      <c r="D50" s="276" t="s">
        <v>261</v>
      </c>
      <c r="E50" s="275" t="s">
        <v>202</v>
      </c>
      <c r="F50" s="275" t="s">
        <v>226</v>
      </c>
      <c r="G50" s="274">
        <v>111</v>
      </c>
      <c r="H50" s="273">
        <v>56</v>
      </c>
    </row>
    <row r="51" spans="1:8" x14ac:dyDescent="0.2">
      <c r="A51" s="277">
        <v>28</v>
      </c>
      <c r="B51" s="275" t="s">
        <v>234</v>
      </c>
      <c r="C51" s="276" t="s">
        <v>260</v>
      </c>
      <c r="D51" s="276" t="s">
        <v>261</v>
      </c>
      <c r="E51" s="275" t="s">
        <v>227</v>
      </c>
      <c r="F51" s="275" t="s">
        <v>205</v>
      </c>
      <c r="G51" s="274">
        <v>87</v>
      </c>
      <c r="H51" s="273">
        <v>56</v>
      </c>
    </row>
    <row r="52" spans="1:8" x14ac:dyDescent="0.2">
      <c r="A52" s="277">
        <v>29</v>
      </c>
      <c r="B52" s="275" t="s">
        <v>234</v>
      </c>
      <c r="C52" s="276" t="s">
        <v>262</v>
      </c>
      <c r="D52" s="276" t="s">
        <v>263</v>
      </c>
      <c r="E52" s="275" t="s">
        <v>114</v>
      </c>
      <c r="F52" s="275" t="s">
        <v>114</v>
      </c>
      <c r="G52" s="274">
        <v>124</v>
      </c>
      <c r="H52" s="273">
        <v>61</v>
      </c>
    </row>
    <row r="53" spans="1:8" x14ac:dyDescent="0.2">
      <c r="A53" s="277">
        <v>30</v>
      </c>
      <c r="B53" s="275" t="s">
        <v>234</v>
      </c>
      <c r="C53" s="276" t="s">
        <v>264</v>
      </c>
      <c r="D53" s="276" t="s">
        <v>265</v>
      </c>
      <c r="E53" s="275" t="s">
        <v>200</v>
      </c>
      <c r="F53" s="275" t="s">
        <v>208</v>
      </c>
      <c r="G53" s="274">
        <v>110</v>
      </c>
      <c r="H53" s="273">
        <v>71</v>
      </c>
    </row>
    <row r="54" spans="1:8" x14ac:dyDescent="0.2">
      <c r="A54" s="277">
        <v>30</v>
      </c>
      <c r="B54" s="275" t="s">
        <v>234</v>
      </c>
      <c r="C54" s="276" t="s">
        <v>264</v>
      </c>
      <c r="D54" s="276" t="s">
        <v>265</v>
      </c>
      <c r="E54" s="275" t="s">
        <v>209</v>
      </c>
      <c r="F54" s="275" t="s">
        <v>201</v>
      </c>
      <c r="G54" s="274">
        <v>128</v>
      </c>
      <c r="H54" s="273">
        <v>71</v>
      </c>
    </row>
    <row r="55" spans="1:8" x14ac:dyDescent="0.2">
      <c r="A55" s="277">
        <v>30</v>
      </c>
      <c r="B55" s="275" t="s">
        <v>234</v>
      </c>
      <c r="C55" s="276" t="s">
        <v>264</v>
      </c>
      <c r="D55" s="276" t="s">
        <v>265</v>
      </c>
      <c r="E55" s="275" t="s">
        <v>202</v>
      </c>
      <c r="F55" s="275" t="s">
        <v>205</v>
      </c>
      <c r="G55" s="274">
        <v>90</v>
      </c>
      <c r="H55" s="273">
        <v>71</v>
      </c>
    </row>
    <row r="56" spans="1:8" x14ac:dyDescent="0.2">
      <c r="A56" s="277">
        <v>31</v>
      </c>
      <c r="B56" s="275" t="s">
        <v>234</v>
      </c>
      <c r="C56" s="276" t="s">
        <v>266</v>
      </c>
      <c r="D56" s="276" t="s">
        <v>267</v>
      </c>
      <c r="E56" s="275" t="s">
        <v>114</v>
      </c>
      <c r="F56" s="275" t="s">
        <v>114</v>
      </c>
      <c r="G56" s="274">
        <v>96</v>
      </c>
      <c r="H56" s="273">
        <v>66</v>
      </c>
    </row>
    <row r="57" spans="1:8" x14ac:dyDescent="0.2">
      <c r="A57" s="277">
        <v>32</v>
      </c>
      <c r="B57" s="275" t="s">
        <v>234</v>
      </c>
      <c r="C57" s="276" t="s">
        <v>268</v>
      </c>
      <c r="D57" s="276" t="s">
        <v>269</v>
      </c>
      <c r="E57" s="275" t="s">
        <v>114</v>
      </c>
      <c r="F57" s="275" t="s">
        <v>114</v>
      </c>
      <c r="G57" s="274">
        <v>89</v>
      </c>
      <c r="H57" s="273">
        <v>61</v>
      </c>
    </row>
    <row r="58" spans="1:8" x14ac:dyDescent="0.2">
      <c r="A58" s="277">
        <v>33</v>
      </c>
      <c r="B58" s="275" t="s">
        <v>234</v>
      </c>
      <c r="C58" s="276" t="s">
        <v>270</v>
      </c>
      <c r="D58" s="276" t="s">
        <v>270</v>
      </c>
      <c r="E58" s="275" t="s">
        <v>114</v>
      </c>
      <c r="F58" s="275" t="s">
        <v>114</v>
      </c>
      <c r="G58" s="274">
        <v>107</v>
      </c>
      <c r="H58" s="273">
        <v>61</v>
      </c>
    </row>
    <row r="59" spans="1:8" x14ac:dyDescent="0.2">
      <c r="A59" s="277">
        <v>34</v>
      </c>
      <c r="B59" s="275" t="s">
        <v>234</v>
      </c>
      <c r="C59" s="276" t="s">
        <v>271</v>
      </c>
      <c r="D59" s="276" t="s">
        <v>271</v>
      </c>
      <c r="E59" s="275" t="s">
        <v>114</v>
      </c>
      <c r="F59" s="275" t="s">
        <v>114</v>
      </c>
      <c r="G59" s="274">
        <v>142</v>
      </c>
      <c r="H59" s="273">
        <v>71</v>
      </c>
    </row>
    <row r="60" spans="1:8" x14ac:dyDescent="0.2">
      <c r="A60" s="277">
        <v>35</v>
      </c>
      <c r="B60" s="275" t="s">
        <v>234</v>
      </c>
      <c r="C60" s="276" t="s">
        <v>272</v>
      </c>
      <c r="D60" s="276" t="s">
        <v>272</v>
      </c>
      <c r="E60" s="275" t="s">
        <v>200</v>
      </c>
      <c r="F60" s="275" t="s">
        <v>220</v>
      </c>
      <c r="G60" s="274">
        <v>251</v>
      </c>
      <c r="H60" s="273">
        <v>71</v>
      </c>
    </row>
    <row r="61" spans="1:8" x14ac:dyDescent="0.2">
      <c r="A61" s="277">
        <v>35</v>
      </c>
      <c r="B61" s="275" t="s">
        <v>234</v>
      </c>
      <c r="C61" s="276" t="s">
        <v>272</v>
      </c>
      <c r="D61" s="276" t="s">
        <v>272</v>
      </c>
      <c r="E61" s="275" t="s">
        <v>221</v>
      </c>
      <c r="F61" s="275" t="s">
        <v>208</v>
      </c>
      <c r="G61" s="274">
        <v>209</v>
      </c>
      <c r="H61" s="273">
        <v>71</v>
      </c>
    </row>
    <row r="62" spans="1:8" x14ac:dyDescent="0.2">
      <c r="A62" s="277">
        <v>35</v>
      </c>
      <c r="B62" s="275" t="s">
        <v>234</v>
      </c>
      <c r="C62" s="276" t="s">
        <v>272</v>
      </c>
      <c r="D62" s="276" t="s">
        <v>272</v>
      </c>
      <c r="E62" s="275" t="s">
        <v>209</v>
      </c>
      <c r="F62" s="275" t="s">
        <v>226</v>
      </c>
      <c r="G62" s="274">
        <v>219</v>
      </c>
      <c r="H62" s="273">
        <v>71</v>
      </c>
    </row>
    <row r="63" spans="1:8" x14ac:dyDescent="0.2">
      <c r="A63" s="277">
        <v>35</v>
      </c>
      <c r="B63" s="275" t="s">
        <v>234</v>
      </c>
      <c r="C63" s="276" t="s">
        <v>272</v>
      </c>
      <c r="D63" s="276" t="s">
        <v>272</v>
      </c>
      <c r="E63" s="275" t="s">
        <v>227</v>
      </c>
      <c r="F63" s="275" t="s">
        <v>205</v>
      </c>
      <c r="G63" s="274">
        <v>251</v>
      </c>
      <c r="H63" s="273">
        <v>71</v>
      </c>
    </row>
    <row r="64" spans="1:8" x14ac:dyDescent="0.2">
      <c r="A64" s="277">
        <v>36</v>
      </c>
      <c r="B64" s="275" t="s">
        <v>234</v>
      </c>
      <c r="C64" s="276" t="s">
        <v>273</v>
      </c>
      <c r="D64" s="276" t="s">
        <v>273</v>
      </c>
      <c r="E64" s="275" t="s">
        <v>114</v>
      </c>
      <c r="F64" s="275" t="s">
        <v>114</v>
      </c>
      <c r="G64" s="274">
        <v>111</v>
      </c>
      <c r="H64" s="273">
        <v>66</v>
      </c>
    </row>
    <row r="65" spans="1:8" x14ac:dyDescent="0.2">
      <c r="A65" s="277">
        <v>37</v>
      </c>
      <c r="B65" s="275" t="s">
        <v>234</v>
      </c>
      <c r="C65" s="276" t="s">
        <v>274</v>
      </c>
      <c r="D65" s="276" t="s">
        <v>275</v>
      </c>
      <c r="E65" s="275" t="s">
        <v>114</v>
      </c>
      <c r="F65" s="275" t="s">
        <v>114</v>
      </c>
      <c r="G65" s="274">
        <v>155</v>
      </c>
      <c r="H65" s="273">
        <v>61</v>
      </c>
    </row>
    <row r="66" spans="1:8" x14ac:dyDescent="0.2">
      <c r="A66" s="277">
        <v>38</v>
      </c>
      <c r="B66" s="275" t="s">
        <v>234</v>
      </c>
      <c r="C66" s="276" t="s">
        <v>276</v>
      </c>
      <c r="D66" s="276" t="s">
        <v>276</v>
      </c>
      <c r="E66" s="275" t="s">
        <v>200</v>
      </c>
      <c r="F66" s="275" t="s">
        <v>253</v>
      </c>
      <c r="G66" s="274">
        <v>151</v>
      </c>
      <c r="H66" s="273">
        <v>66</v>
      </c>
    </row>
    <row r="67" spans="1:8" x14ac:dyDescent="0.2">
      <c r="A67" s="277">
        <v>38</v>
      </c>
      <c r="B67" s="275" t="s">
        <v>234</v>
      </c>
      <c r="C67" s="276" t="s">
        <v>276</v>
      </c>
      <c r="D67" s="276" t="s">
        <v>276</v>
      </c>
      <c r="E67" s="275" t="s">
        <v>254</v>
      </c>
      <c r="F67" s="275" t="s">
        <v>226</v>
      </c>
      <c r="G67" s="274">
        <v>200</v>
      </c>
      <c r="H67" s="273">
        <v>66</v>
      </c>
    </row>
    <row r="68" spans="1:8" x14ac:dyDescent="0.2">
      <c r="A68" s="277">
        <v>38</v>
      </c>
      <c r="B68" s="275" t="s">
        <v>234</v>
      </c>
      <c r="C68" s="276" t="s">
        <v>276</v>
      </c>
      <c r="D68" s="276" t="s">
        <v>276</v>
      </c>
      <c r="E68" s="275" t="s">
        <v>227</v>
      </c>
      <c r="F68" s="275" t="s">
        <v>205</v>
      </c>
      <c r="G68" s="274">
        <v>151</v>
      </c>
      <c r="H68" s="273">
        <v>66</v>
      </c>
    </row>
    <row r="69" spans="1:8" x14ac:dyDescent="0.2">
      <c r="A69" s="277">
        <v>39</v>
      </c>
      <c r="B69" s="275" t="s">
        <v>234</v>
      </c>
      <c r="C69" s="276" t="s">
        <v>277</v>
      </c>
      <c r="D69" s="276" t="s">
        <v>277</v>
      </c>
      <c r="E69" s="275" t="s">
        <v>200</v>
      </c>
      <c r="F69" s="275" t="s">
        <v>201</v>
      </c>
      <c r="G69" s="274">
        <v>128</v>
      </c>
      <c r="H69" s="273">
        <v>66</v>
      </c>
    </row>
    <row r="70" spans="1:8" x14ac:dyDescent="0.2">
      <c r="A70" s="277">
        <v>39</v>
      </c>
      <c r="B70" s="275" t="s">
        <v>234</v>
      </c>
      <c r="C70" s="276" t="s">
        <v>277</v>
      </c>
      <c r="D70" s="276" t="s">
        <v>277</v>
      </c>
      <c r="E70" s="275" t="s">
        <v>202</v>
      </c>
      <c r="F70" s="275" t="s">
        <v>226</v>
      </c>
      <c r="G70" s="274">
        <v>168</v>
      </c>
      <c r="H70" s="273">
        <v>66</v>
      </c>
    </row>
    <row r="71" spans="1:8" x14ac:dyDescent="0.2">
      <c r="A71" s="277">
        <v>39</v>
      </c>
      <c r="B71" s="275" t="s">
        <v>234</v>
      </c>
      <c r="C71" s="276" t="s">
        <v>277</v>
      </c>
      <c r="D71" s="276" t="s">
        <v>277</v>
      </c>
      <c r="E71" s="275" t="s">
        <v>227</v>
      </c>
      <c r="F71" s="275" t="s">
        <v>205</v>
      </c>
      <c r="G71" s="274">
        <v>128</v>
      </c>
      <c r="H71" s="273">
        <v>66</v>
      </c>
    </row>
    <row r="72" spans="1:8" x14ac:dyDescent="0.2">
      <c r="A72" s="277">
        <v>40</v>
      </c>
      <c r="B72" s="275" t="s">
        <v>234</v>
      </c>
      <c r="C72" s="276" t="s">
        <v>278</v>
      </c>
      <c r="D72" s="276" t="s">
        <v>279</v>
      </c>
      <c r="E72" s="275" t="s">
        <v>200</v>
      </c>
      <c r="F72" s="275" t="s">
        <v>208</v>
      </c>
      <c r="G72" s="274">
        <v>190</v>
      </c>
      <c r="H72" s="273">
        <v>71</v>
      </c>
    </row>
    <row r="73" spans="1:8" x14ac:dyDescent="0.2">
      <c r="A73" s="277">
        <v>40</v>
      </c>
      <c r="B73" s="275" t="s">
        <v>234</v>
      </c>
      <c r="C73" s="276" t="s">
        <v>278</v>
      </c>
      <c r="D73" s="276" t="s">
        <v>279</v>
      </c>
      <c r="E73" s="275" t="s">
        <v>209</v>
      </c>
      <c r="F73" s="275" t="s">
        <v>201</v>
      </c>
      <c r="G73" s="274">
        <v>202</v>
      </c>
      <c r="H73" s="273">
        <v>71</v>
      </c>
    </row>
    <row r="74" spans="1:8" x14ac:dyDescent="0.2">
      <c r="A74" s="277">
        <v>40</v>
      </c>
      <c r="B74" s="275" t="s">
        <v>234</v>
      </c>
      <c r="C74" s="276" t="s">
        <v>278</v>
      </c>
      <c r="D74" s="276" t="s">
        <v>279</v>
      </c>
      <c r="E74" s="275" t="s">
        <v>202</v>
      </c>
      <c r="F74" s="275" t="s">
        <v>226</v>
      </c>
      <c r="G74" s="274">
        <v>230</v>
      </c>
      <c r="H74" s="273">
        <v>71</v>
      </c>
    </row>
    <row r="75" spans="1:8" x14ac:dyDescent="0.2">
      <c r="A75" s="277">
        <v>40</v>
      </c>
      <c r="B75" s="275" t="s">
        <v>234</v>
      </c>
      <c r="C75" s="276" t="s">
        <v>278</v>
      </c>
      <c r="D75" s="276" t="s">
        <v>279</v>
      </c>
      <c r="E75" s="275" t="s">
        <v>227</v>
      </c>
      <c r="F75" s="275" t="s">
        <v>205</v>
      </c>
      <c r="G75" s="274">
        <v>190</v>
      </c>
      <c r="H75" s="273">
        <v>71</v>
      </c>
    </row>
    <row r="76" spans="1:8" x14ac:dyDescent="0.2">
      <c r="A76" s="277">
        <v>41</v>
      </c>
      <c r="B76" s="275" t="s">
        <v>234</v>
      </c>
      <c r="C76" s="276" t="s">
        <v>280</v>
      </c>
      <c r="D76" s="276" t="s">
        <v>281</v>
      </c>
      <c r="E76" s="275" t="s">
        <v>114</v>
      </c>
      <c r="F76" s="275" t="s">
        <v>114</v>
      </c>
      <c r="G76" s="274">
        <v>121</v>
      </c>
      <c r="H76" s="273">
        <v>61</v>
      </c>
    </row>
    <row r="77" spans="1:8" x14ac:dyDescent="0.2">
      <c r="A77" s="277">
        <v>42</v>
      </c>
      <c r="B77" s="275" t="s">
        <v>234</v>
      </c>
      <c r="C77" s="276" t="s">
        <v>282</v>
      </c>
      <c r="D77" s="276" t="s">
        <v>283</v>
      </c>
      <c r="E77" s="275" t="s">
        <v>114</v>
      </c>
      <c r="F77" s="275" t="s">
        <v>114</v>
      </c>
      <c r="G77" s="274">
        <v>114</v>
      </c>
      <c r="H77" s="273">
        <v>71</v>
      </c>
    </row>
    <row r="78" spans="1:8" x14ac:dyDescent="0.2">
      <c r="A78" s="277">
        <v>43</v>
      </c>
      <c r="B78" s="275" t="s">
        <v>234</v>
      </c>
      <c r="C78" s="276" t="s">
        <v>284</v>
      </c>
      <c r="D78" s="276" t="s">
        <v>285</v>
      </c>
      <c r="E78" s="275" t="s">
        <v>114</v>
      </c>
      <c r="F78" s="275" t="s">
        <v>114</v>
      </c>
      <c r="G78" s="274">
        <v>93</v>
      </c>
      <c r="H78" s="273">
        <v>56</v>
      </c>
    </row>
    <row r="79" spans="1:8" x14ac:dyDescent="0.2">
      <c r="A79" s="277">
        <v>44</v>
      </c>
      <c r="B79" s="275" t="s">
        <v>234</v>
      </c>
      <c r="C79" s="276" t="s">
        <v>286</v>
      </c>
      <c r="D79" s="276" t="s">
        <v>287</v>
      </c>
      <c r="E79" s="275" t="s">
        <v>114</v>
      </c>
      <c r="F79" s="275" t="s">
        <v>114</v>
      </c>
      <c r="G79" s="274">
        <v>162</v>
      </c>
      <c r="H79" s="273">
        <v>56</v>
      </c>
    </row>
    <row r="80" spans="1:8" x14ac:dyDescent="0.2">
      <c r="A80" s="277">
        <v>45</v>
      </c>
      <c r="B80" s="275" t="s">
        <v>234</v>
      </c>
      <c r="C80" s="276" t="s">
        <v>288</v>
      </c>
      <c r="D80" s="276" t="s">
        <v>289</v>
      </c>
      <c r="E80" s="275" t="s">
        <v>114</v>
      </c>
      <c r="F80" s="275" t="s">
        <v>114</v>
      </c>
      <c r="G80" s="274">
        <v>87</v>
      </c>
      <c r="H80" s="273">
        <v>61</v>
      </c>
    </row>
    <row r="81" spans="1:8" x14ac:dyDescent="0.2">
      <c r="A81" s="277">
        <v>46</v>
      </c>
      <c r="B81" s="275" t="s">
        <v>234</v>
      </c>
      <c r="C81" s="276" t="s">
        <v>290</v>
      </c>
      <c r="D81" s="276" t="s">
        <v>291</v>
      </c>
      <c r="E81" s="275" t="s">
        <v>114</v>
      </c>
      <c r="F81" s="275" t="s">
        <v>114</v>
      </c>
      <c r="G81" s="274">
        <v>106</v>
      </c>
      <c r="H81" s="273">
        <v>71</v>
      </c>
    </row>
    <row r="82" spans="1:8" x14ac:dyDescent="0.2">
      <c r="A82" s="277">
        <v>47</v>
      </c>
      <c r="B82" s="275" t="s">
        <v>234</v>
      </c>
      <c r="C82" s="276" t="s">
        <v>292</v>
      </c>
      <c r="D82" s="276" t="s">
        <v>1087</v>
      </c>
      <c r="E82" s="275" t="s">
        <v>114</v>
      </c>
      <c r="F82" s="275" t="s">
        <v>114</v>
      </c>
      <c r="G82" s="274">
        <v>88</v>
      </c>
      <c r="H82" s="273">
        <v>61</v>
      </c>
    </row>
    <row r="83" spans="1:8" x14ac:dyDescent="0.2">
      <c r="A83" s="277">
        <v>48</v>
      </c>
      <c r="B83" s="275" t="s">
        <v>234</v>
      </c>
      <c r="C83" s="276" t="s">
        <v>293</v>
      </c>
      <c r="D83" s="276" t="s">
        <v>294</v>
      </c>
      <c r="E83" s="275" t="s">
        <v>114</v>
      </c>
      <c r="F83" s="275" t="s">
        <v>114</v>
      </c>
      <c r="G83" s="274">
        <v>108</v>
      </c>
      <c r="H83" s="273">
        <v>51</v>
      </c>
    </row>
    <row r="84" spans="1:8" x14ac:dyDescent="0.2">
      <c r="A84" s="277">
        <v>49</v>
      </c>
      <c r="B84" s="275" t="s">
        <v>234</v>
      </c>
      <c r="C84" s="276" t="s">
        <v>295</v>
      </c>
      <c r="D84" s="276" t="s">
        <v>296</v>
      </c>
      <c r="E84" s="275" t="s">
        <v>200</v>
      </c>
      <c r="F84" s="275" t="s">
        <v>256</v>
      </c>
      <c r="G84" s="274">
        <v>90</v>
      </c>
      <c r="H84" s="273">
        <v>71</v>
      </c>
    </row>
    <row r="85" spans="1:8" x14ac:dyDescent="0.2">
      <c r="A85" s="277">
        <v>49</v>
      </c>
      <c r="B85" s="275" t="s">
        <v>234</v>
      </c>
      <c r="C85" s="276" t="s">
        <v>295</v>
      </c>
      <c r="D85" s="276" t="s">
        <v>296</v>
      </c>
      <c r="E85" s="275" t="s">
        <v>257</v>
      </c>
      <c r="F85" s="275" t="s">
        <v>201</v>
      </c>
      <c r="G85" s="274">
        <v>113</v>
      </c>
      <c r="H85" s="273">
        <v>71</v>
      </c>
    </row>
    <row r="86" spans="1:8" x14ac:dyDescent="0.2">
      <c r="A86" s="277">
        <v>49</v>
      </c>
      <c r="B86" s="275" t="s">
        <v>234</v>
      </c>
      <c r="C86" s="276" t="s">
        <v>295</v>
      </c>
      <c r="D86" s="276" t="s">
        <v>296</v>
      </c>
      <c r="E86" s="275" t="s">
        <v>202</v>
      </c>
      <c r="F86" s="275" t="s">
        <v>226</v>
      </c>
      <c r="G86" s="274">
        <v>124</v>
      </c>
      <c r="H86" s="273">
        <v>71</v>
      </c>
    </row>
    <row r="87" spans="1:8" x14ac:dyDescent="0.2">
      <c r="A87" s="277">
        <v>49</v>
      </c>
      <c r="B87" s="275" t="s">
        <v>234</v>
      </c>
      <c r="C87" s="276" t="s">
        <v>295</v>
      </c>
      <c r="D87" s="276" t="s">
        <v>296</v>
      </c>
      <c r="E87" s="275" t="s">
        <v>227</v>
      </c>
      <c r="F87" s="275" t="s">
        <v>205</v>
      </c>
      <c r="G87" s="274">
        <v>90</v>
      </c>
      <c r="H87" s="273">
        <v>71</v>
      </c>
    </row>
    <row r="88" spans="1:8" x14ac:dyDescent="0.2">
      <c r="A88" s="277">
        <v>50</v>
      </c>
      <c r="B88" s="275" t="s">
        <v>297</v>
      </c>
      <c r="C88" s="276" t="s">
        <v>298</v>
      </c>
      <c r="D88" s="276" t="s">
        <v>299</v>
      </c>
      <c r="E88" s="275" t="s">
        <v>200</v>
      </c>
      <c r="F88" s="275" t="s">
        <v>256</v>
      </c>
      <c r="G88" s="274">
        <v>116</v>
      </c>
      <c r="H88" s="273">
        <v>71</v>
      </c>
    </row>
    <row r="89" spans="1:8" x14ac:dyDescent="0.2">
      <c r="A89" s="277">
        <v>50</v>
      </c>
      <c r="B89" s="275" t="s">
        <v>297</v>
      </c>
      <c r="C89" s="276" t="s">
        <v>298</v>
      </c>
      <c r="D89" s="276" t="s">
        <v>299</v>
      </c>
      <c r="E89" s="275" t="s">
        <v>257</v>
      </c>
      <c r="F89" s="275" t="s">
        <v>258</v>
      </c>
      <c r="G89" s="274">
        <v>270</v>
      </c>
      <c r="H89" s="273">
        <v>71</v>
      </c>
    </row>
    <row r="90" spans="1:8" x14ac:dyDescent="0.2">
      <c r="A90" s="277">
        <v>50</v>
      </c>
      <c r="B90" s="275" t="s">
        <v>297</v>
      </c>
      <c r="C90" s="276" t="s">
        <v>298</v>
      </c>
      <c r="D90" s="276" t="s">
        <v>299</v>
      </c>
      <c r="E90" s="275" t="s">
        <v>259</v>
      </c>
      <c r="F90" s="275" t="s">
        <v>201</v>
      </c>
      <c r="G90" s="274">
        <v>117</v>
      </c>
      <c r="H90" s="273">
        <v>71</v>
      </c>
    </row>
    <row r="91" spans="1:8" x14ac:dyDescent="0.2">
      <c r="A91" s="277">
        <v>50</v>
      </c>
      <c r="B91" s="275" t="s">
        <v>297</v>
      </c>
      <c r="C91" s="276" t="s">
        <v>298</v>
      </c>
      <c r="D91" s="276" t="s">
        <v>299</v>
      </c>
      <c r="E91" s="275" t="s">
        <v>202</v>
      </c>
      <c r="F91" s="275" t="s">
        <v>226</v>
      </c>
      <c r="G91" s="274">
        <v>201</v>
      </c>
      <c r="H91" s="273">
        <v>71</v>
      </c>
    </row>
    <row r="92" spans="1:8" x14ac:dyDescent="0.2">
      <c r="A92" s="277">
        <v>50</v>
      </c>
      <c r="B92" s="275" t="s">
        <v>297</v>
      </c>
      <c r="C92" s="276" t="s">
        <v>298</v>
      </c>
      <c r="D92" s="276" t="s">
        <v>299</v>
      </c>
      <c r="E92" s="275" t="s">
        <v>227</v>
      </c>
      <c r="F92" s="275" t="s">
        <v>205</v>
      </c>
      <c r="G92" s="274">
        <v>116</v>
      </c>
      <c r="H92" s="273">
        <v>71</v>
      </c>
    </row>
    <row r="93" spans="1:8" x14ac:dyDescent="0.2">
      <c r="A93" s="277">
        <v>52</v>
      </c>
      <c r="B93" s="275" t="s">
        <v>297</v>
      </c>
      <c r="C93" s="276" t="s">
        <v>300</v>
      </c>
      <c r="D93" s="276" t="s">
        <v>300</v>
      </c>
      <c r="E93" s="275" t="s">
        <v>114</v>
      </c>
      <c r="F93" s="275" t="s">
        <v>114</v>
      </c>
      <c r="G93" s="274">
        <v>114</v>
      </c>
      <c r="H93" s="273">
        <v>61</v>
      </c>
    </row>
    <row r="94" spans="1:8" x14ac:dyDescent="0.2">
      <c r="A94" s="277">
        <v>53</v>
      </c>
      <c r="B94" s="275" t="s">
        <v>297</v>
      </c>
      <c r="C94" s="276" t="s">
        <v>301</v>
      </c>
      <c r="D94" s="276" t="s">
        <v>302</v>
      </c>
      <c r="E94" s="275" t="s">
        <v>114</v>
      </c>
      <c r="F94" s="275" t="s">
        <v>114</v>
      </c>
      <c r="G94" s="274">
        <v>89</v>
      </c>
      <c r="H94" s="273">
        <v>66</v>
      </c>
    </row>
    <row r="95" spans="1:8" x14ac:dyDescent="0.2">
      <c r="A95" s="277">
        <v>54</v>
      </c>
      <c r="B95" s="275" t="s">
        <v>297</v>
      </c>
      <c r="C95" s="276" t="s">
        <v>303</v>
      </c>
      <c r="D95" s="276" t="s">
        <v>304</v>
      </c>
      <c r="E95" s="275" t="s">
        <v>200</v>
      </c>
      <c r="F95" s="275" t="s">
        <v>201</v>
      </c>
      <c r="G95" s="274">
        <v>88</v>
      </c>
      <c r="H95" s="273">
        <v>51</v>
      </c>
    </row>
    <row r="96" spans="1:8" x14ac:dyDescent="0.2">
      <c r="A96" s="277">
        <v>54</v>
      </c>
      <c r="B96" s="275" t="s">
        <v>297</v>
      </c>
      <c r="C96" s="276" t="s">
        <v>303</v>
      </c>
      <c r="D96" s="276" t="s">
        <v>304</v>
      </c>
      <c r="E96" s="275" t="s">
        <v>202</v>
      </c>
      <c r="F96" s="275" t="s">
        <v>205</v>
      </c>
      <c r="G96" s="274">
        <v>111</v>
      </c>
      <c r="H96" s="273">
        <v>51</v>
      </c>
    </row>
    <row r="97" spans="1:8" x14ac:dyDescent="0.2">
      <c r="A97" s="277">
        <v>55</v>
      </c>
      <c r="B97" s="275" t="s">
        <v>297</v>
      </c>
      <c r="C97" s="276" t="s">
        <v>305</v>
      </c>
      <c r="D97" s="276" t="s">
        <v>306</v>
      </c>
      <c r="E97" s="275" t="s">
        <v>114</v>
      </c>
      <c r="F97" s="275" t="s">
        <v>114</v>
      </c>
      <c r="G97" s="274">
        <v>95</v>
      </c>
      <c r="H97" s="273">
        <v>51</v>
      </c>
    </row>
    <row r="98" spans="1:8" x14ac:dyDescent="0.2">
      <c r="A98" s="277">
        <v>56</v>
      </c>
      <c r="B98" s="275" t="s">
        <v>297</v>
      </c>
      <c r="C98" s="276" t="s">
        <v>307</v>
      </c>
      <c r="D98" s="276" t="s">
        <v>1086</v>
      </c>
      <c r="E98" s="275" t="s">
        <v>114</v>
      </c>
      <c r="F98" s="275" t="s">
        <v>114</v>
      </c>
      <c r="G98" s="274">
        <v>163</v>
      </c>
      <c r="H98" s="273">
        <v>66</v>
      </c>
    </row>
    <row r="99" spans="1:8" x14ac:dyDescent="0.2">
      <c r="A99" s="277">
        <v>427</v>
      </c>
      <c r="B99" s="275" t="s">
        <v>297</v>
      </c>
      <c r="C99" s="276" t="s">
        <v>1085</v>
      </c>
      <c r="D99" s="276" t="s">
        <v>308</v>
      </c>
      <c r="E99" s="275" t="s">
        <v>114</v>
      </c>
      <c r="F99" s="275" t="s">
        <v>114</v>
      </c>
      <c r="G99" s="274">
        <v>108</v>
      </c>
      <c r="H99" s="273">
        <v>61</v>
      </c>
    </row>
    <row r="100" spans="1:8" x14ac:dyDescent="0.2">
      <c r="A100" s="277">
        <v>57</v>
      </c>
      <c r="B100" s="275" t="s">
        <v>297</v>
      </c>
      <c r="C100" s="276" t="s">
        <v>309</v>
      </c>
      <c r="D100" s="276" t="s">
        <v>310</v>
      </c>
      <c r="E100" s="275" t="s">
        <v>200</v>
      </c>
      <c r="F100" s="275" t="s">
        <v>201</v>
      </c>
      <c r="G100" s="274">
        <v>97</v>
      </c>
      <c r="H100" s="273">
        <v>61</v>
      </c>
    </row>
    <row r="101" spans="1:8" x14ac:dyDescent="0.2">
      <c r="A101" s="277">
        <v>57</v>
      </c>
      <c r="B101" s="275" t="s">
        <v>297</v>
      </c>
      <c r="C101" s="276" t="s">
        <v>309</v>
      </c>
      <c r="D101" s="276" t="s">
        <v>310</v>
      </c>
      <c r="E101" s="275" t="s">
        <v>202</v>
      </c>
      <c r="F101" s="275" t="s">
        <v>205</v>
      </c>
      <c r="G101" s="274">
        <v>141</v>
      </c>
      <c r="H101" s="273">
        <v>61</v>
      </c>
    </row>
    <row r="102" spans="1:8" x14ac:dyDescent="0.2">
      <c r="A102" s="277">
        <v>58</v>
      </c>
      <c r="B102" s="275" t="s">
        <v>297</v>
      </c>
      <c r="C102" s="276" t="s">
        <v>311</v>
      </c>
      <c r="D102" s="276" t="s">
        <v>312</v>
      </c>
      <c r="E102" s="275" t="s">
        <v>114</v>
      </c>
      <c r="F102" s="275" t="s">
        <v>114</v>
      </c>
      <c r="G102" s="274">
        <v>98</v>
      </c>
      <c r="H102" s="273">
        <v>56</v>
      </c>
    </row>
    <row r="103" spans="1:8" x14ac:dyDescent="0.2">
      <c r="A103" s="277">
        <v>61</v>
      </c>
      <c r="B103" s="275" t="s">
        <v>297</v>
      </c>
      <c r="C103" s="276" t="s">
        <v>313</v>
      </c>
      <c r="D103" s="276" t="s">
        <v>313</v>
      </c>
      <c r="E103" s="275" t="s">
        <v>114</v>
      </c>
      <c r="F103" s="275" t="s">
        <v>114</v>
      </c>
      <c r="G103" s="274">
        <v>87</v>
      </c>
      <c r="H103" s="273">
        <v>56</v>
      </c>
    </row>
    <row r="104" spans="1:8" x14ac:dyDescent="0.2">
      <c r="A104" s="277">
        <v>63</v>
      </c>
      <c r="B104" s="275" t="s">
        <v>297</v>
      </c>
      <c r="C104" s="276" t="s">
        <v>314</v>
      </c>
      <c r="D104" s="276" t="s">
        <v>315</v>
      </c>
      <c r="E104" s="275" t="s">
        <v>200</v>
      </c>
      <c r="F104" s="275" t="s">
        <v>256</v>
      </c>
      <c r="G104" s="274">
        <v>94</v>
      </c>
      <c r="H104" s="273">
        <v>56</v>
      </c>
    </row>
    <row r="105" spans="1:8" x14ac:dyDescent="0.2">
      <c r="A105" s="277">
        <v>63</v>
      </c>
      <c r="B105" s="275" t="s">
        <v>297</v>
      </c>
      <c r="C105" s="276" t="s">
        <v>314</v>
      </c>
      <c r="D105" s="276" t="s">
        <v>315</v>
      </c>
      <c r="E105" s="275" t="s">
        <v>257</v>
      </c>
      <c r="F105" s="275" t="s">
        <v>258</v>
      </c>
      <c r="G105" s="274">
        <v>138</v>
      </c>
      <c r="H105" s="273">
        <v>56</v>
      </c>
    </row>
    <row r="106" spans="1:8" x14ac:dyDescent="0.2">
      <c r="A106" s="277">
        <v>63</v>
      </c>
      <c r="B106" s="275" t="s">
        <v>297</v>
      </c>
      <c r="C106" s="276" t="s">
        <v>314</v>
      </c>
      <c r="D106" s="276" t="s">
        <v>315</v>
      </c>
      <c r="E106" s="275" t="s">
        <v>259</v>
      </c>
      <c r="F106" s="275" t="s">
        <v>201</v>
      </c>
      <c r="G106" s="274">
        <v>83</v>
      </c>
      <c r="H106" s="273">
        <v>56</v>
      </c>
    </row>
    <row r="107" spans="1:8" x14ac:dyDescent="0.2">
      <c r="A107" s="277">
        <v>63</v>
      </c>
      <c r="B107" s="275" t="s">
        <v>297</v>
      </c>
      <c r="C107" s="276" t="s">
        <v>314</v>
      </c>
      <c r="D107" s="276" t="s">
        <v>315</v>
      </c>
      <c r="E107" s="275" t="s">
        <v>202</v>
      </c>
      <c r="F107" s="275" t="s">
        <v>205</v>
      </c>
      <c r="G107" s="274">
        <v>94</v>
      </c>
      <c r="H107" s="273">
        <v>56</v>
      </c>
    </row>
    <row r="108" spans="1:8" x14ac:dyDescent="0.2">
      <c r="A108" s="277">
        <v>64</v>
      </c>
      <c r="B108" s="275" t="s">
        <v>297</v>
      </c>
      <c r="C108" s="276" t="s">
        <v>316</v>
      </c>
      <c r="D108" s="276" t="s">
        <v>317</v>
      </c>
      <c r="E108" s="275" t="s">
        <v>200</v>
      </c>
      <c r="F108" s="275" t="s">
        <v>256</v>
      </c>
      <c r="G108" s="274">
        <v>99</v>
      </c>
      <c r="H108" s="273">
        <v>56</v>
      </c>
    </row>
    <row r="109" spans="1:8" x14ac:dyDescent="0.2">
      <c r="A109" s="277">
        <v>64</v>
      </c>
      <c r="B109" s="275" t="s">
        <v>297</v>
      </c>
      <c r="C109" s="276" t="s">
        <v>316</v>
      </c>
      <c r="D109" s="276" t="s">
        <v>317</v>
      </c>
      <c r="E109" s="275" t="s">
        <v>257</v>
      </c>
      <c r="F109" s="275" t="s">
        <v>258</v>
      </c>
      <c r="G109" s="274">
        <v>172</v>
      </c>
      <c r="H109" s="273">
        <v>56</v>
      </c>
    </row>
    <row r="110" spans="1:8" x14ac:dyDescent="0.2">
      <c r="A110" s="277">
        <v>64</v>
      </c>
      <c r="B110" s="275" t="s">
        <v>297</v>
      </c>
      <c r="C110" s="276" t="s">
        <v>316</v>
      </c>
      <c r="D110" s="276" t="s">
        <v>317</v>
      </c>
      <c r="E110" s="275" t="s">
        <v>259</v>
      </c>
      <c r="F110" s="275" t="s">
        <v>205</v>
      </c>
      <c r="G110" s="274">
        <v>99</v>
      </c>
      <c r="H110" s="273">
        <v>56</v>
      </c>
    </row>
    <row r="111" spans="1:8" x14ac:dyDescent="0.2">
      <c r="A111" s="277">
        <v>65</v>
      </c>
      <c r="B111" s="275" t="s">
        <v>297</v>
      </c>
      <c r="C111" s="276" t="s">
        <v>318</v>
      </c>
      <c r="D111" s="276" t="s">
        <v>319</v>
      </c>
      <c r="E111" s="275" t="s">
        <v>200</v>
      </c>
      <c r="F111" s="275" t="s">
        <v>256</v>
      </c>
      <c r="G111" s="274">
        <v>127</v>
      </c>
      <c r="H111" s="273">
        <v>71</v>
      </c>
    </row>
    <row r="112" spans="1:8" x14ac:dyDescent="0.2">
      <c r="A112" s="277">
        <v>65</v>
      </c>
      <c r="B112" s="275" t="s">
        <v>297</v>
      </c>
      <c r="C112" s="276" t="s">
        <v>318</v>
      </c>
      <c r="D112" s="276" t="s">
        <v>319</v>
      </c>
      <c r="E112" s="275" t="s">
        <v>257</v>
      </c>
      <c r="F112" s="275" t="s">
        <v>258</v>
      </c>
      <c r="G112" s="274">
        <v>334</v>
      </c>
      <c r="H112" s="273">
        <v>71</v>
      </c>
    </row>
    <row r="113" spans="1:8" x14ac:dyDescent="0.2">
      <c r="A113" s="277">
        <v>65</v>
      </c>
      <c r="B113" s="275" t="s">
        <v>297</v>
      </c>
      <c r="C113" s="276" t="s">
        <v>318</v>
      </c>
      <c r="D113" s="276" t="s">
        <v>319</v>
      </c>
      <c r="E113" s="275" t="s">
        <v>259</v>
      </c>
      <c r="F113" s="275" t="s">
        <v>201</v>
      </c>
      <c r="G113" s="274">
        <v>136</v>
      </c>
      <c r="H113" s="273">
        <v>71</v>
      </c>
    </row>
    <row r="114" spans="1:8" x14ac:dyDescent="0.2">
      <c r="A114" s="277">
        <v>65</v>
      </c>
      <c r="B114" s="275" t="s">
        <v>297</v>
      </c>
      <c r="C114" s="276" t="s">
        <v>318</v>
      </c>
      <c r="D114" s="276" t="s">
        <v>319</v>
      </c>
      <c r="E114" s="275" t="s">
        <v>202</v>
      </c>
      <c r="F114" s="275" t="s">
        <v>205</v>
      </c>
      <c r="G114" s="274">
        <v>174</v>
      </c>
      <c r="H114" s="273">
        <v>71</v>
      </c>
    </row>
    <row r="115" spans="1:8" x14ac:dyDescent="0.2">
      <c r="A115" s="277">
        <v>66</v>
      </c>
      <c r="B115" s="275" t="s">
        <v>297</v>
      </c>
      <c r="C115" s="276" t="s">
        <v>320</v>
      </c>
      <c r="D115" s="276" t="s">
        <v>321</v>
      </c>
      <c r="E115" s="275" t="s">
        <v>200</v>
      </c>
      <c r="F115" s="275" t="s">
        <v>256</v>
      </c>
      <c r="G115" s="274">
        <v>116</v>
      </c>
      <c r="H115" s="273">
        <v>71</v>
      </c>
    </row>
    <row r="116" spans="1:8" x14ac:dyDescent="0.2">
      <c r="A116" s="277">
        <v>66</v>
      </c>
      <c r="B116" s="275" t="s">
        <v>297</v>
      </c>
      <c r="C116" s="276" t="s">
        <v>320</v>
      </c>
      <c r="D116" s="276" t="s">
        <v>321</v>
      </c>
      <c r="E116" s="275" t="s">
        <v>257</v>
      </c>
      <c r="F116" s="275" t="s">
        <v>258</v>
      </c>
      <c r="G116" s="274">
        <v>312</v>
      </c>
      <c r="H116" s="273">
        <v>71</v>
      </c>
    </row>
    <row r="117" spans="1:8" x14ac:dyDescent="0.2">
      <c r="A117" s="277">
        <v>66</v>
      </c>
      <c r="B117" s="275" t="s">
        <v>297</v>
      </c>
      <c r="C117" s="276" t="s">
        <v>320</v>
      </c>
      <c r="D117" s="276" t="s">
        <v>321</v>
      </c>
      <c r="E117" s="275" t="s">
        <v>259</v>
      </c>
      <c r="F117" s="275" t="s">
        <v>253</v>
      </c>
      <c r="G117" s="274">
        <v>126</v>
      </c>
      <c r="H117" s="273">
        <v>71</v>
      </c>
    </row>
    <row r="118" spans="1:8" x14ac:dyDescent="0.2">
      <c r="A118" s="277">
        <v>66</v>
      </c>
      <c r="B118" s="275" t="s">
        <v>297</v>
      </c>
      <c r="C118" s="276" t="s">
        <v>320</v>
      </c>
      <c r="D118" s="276" t="s">
        <v>321</v>
      </c>
      <c r="E118" s="275" t="s">
        <v>254</v>
      </c>
      <c r="F118" s="275" t="s">
        <v>226</v>
      </c>
      <c r="G118" s="274">
        <v>151</v>
      </c>
      <c r="H118" s="273">
        <v>71</v>
      </c>
    </row>
    <row r="119" spans="1:8" x14ac:dyDescent="0.2">
      <c r="A119" s="277">
        <v>66</v>
      </c>
      <c r="B119" s="275" t="s">
        <v>297</v>
      </c>
      <c r="C119" s="276" t="s">
        <v>320</v>
      </c>
      <c r="D119" s="276" t="s">
        <v>321</v>
      </c>
      <c r="E119" s="275" t="s">
        <v>227</v>
      </c>
      <c r="F119" s="275" t="s">
        <v>205</v>
      </c>
      <c r="G119" s="274">
        <v>116</v>
      </c>
      <c r="H119" s="273">
        <v>71</v>
      </c>
    </row>
    <row r="120" spans="1:8" x14ac:dyDescent="0.2">
      <c r="A120" s="277">
        <v>67</v>
      </c>
      <c r="B120" s="275" t="s">
        <v>322</v>
      </c>
      <c r="C120" s="276" t="s">
        <v>323</v>
      </c>
      <c r="D120" s="276" t="s">
        <v>324</v>
      </c>
      <c r="E120" s="275" t="s">
        <v>114</v>
      </c>
      <c r="F120" s="275" t="s">
        <v>114</v>
      </c>
      <c r="G120" s="274">
        <v>125</v>
      </c>
      <c r="H120" s="273">
        <v>71</v>
      </c>
    </row>
    <row r="121" spans="1:8" x14ac:dyDescent="0.2">
      <c r="A121" s="277">
        <v>68</v>
      </c>
      <c r="B121" s="275" t="s">
        <v>322</v>
      </c>
      <c r="C121" s="276" t="s">
        <v>325</v>
      </c>
      <c r="D121" s="276" t="s">
        <v>326</v>
      </c>
      <c r="E121" s="275" t="s">
        <v>114</v>
      </c>
      <c r="F121" s="275" t="s">
        <v>114</v>
      </c>
      <c r="G121" s="274">
        <v>93</v>
      </c>
      <c r="H121" s="273">
        <v>61</v>
      </c>
    </row>
    <row r="122" spans="1:8" x14ac:dyDescent="0.2">
      <c r="A122" s="277">
        <v>69</v>
      </c>
      <c r="B122" s="275" t="s">
        <v>322</v>
      </c>
      <c r="C122" s="276" t="s">
        <v>327</v>
      </c>
      <c r="D122" s="276" t="s">
        <v>327</v>
      </c>
      <c r="E122" s="275" t="s">
        <v>114</v>
      </c>
      <c r="F122" s="275" t="s">
        <v>114</v>
      </c>
      <c r="G122" s="274">
        <v>116</v>
      </c>
      <c r="H122" s="273">
        <v>56</v>
      </c>
    </row>
    <row r="123" spans="1:8" x14ac:dyDescent="0.2">
      <c r="A123" s="277">
        <v>71</v>
      </c>
      <c r="B123" s="275" t="s">
        <v>322</v>
      </c>
      <c r="C123" s="276" t="s">
        <v>328</v>
      </c>
      <c r="D123" s="276" t="s">
        <v>328</v>
      </c>
      <c r="E123" s="275" t="s">
        <v>114</v>
      </c>
      <c r="F123" s="275" t="s">
        <v>114</v>
      </c>
      <c r="G123" s="274">
        <v>94</v>
      </c>
      <c r="H123" s="273">
        <v>61</v>
      </c>
    </row>
    <row r="124" spans="1:8" x14ac:dyDescent="0.2">
      <c r="A124" s="277">
        <v>72</v>
      </c>
      <c r="B124" s="275" t="s">
        <v>322</v>
      </c>
      <c r="C124" s="276" t="s">
        <v>329</v>
      </c>
      <c r="D124" s="276" t="s">
        <v>330</v>
      </c>
      <c r="E124" s="275" t="s">
        <v>114</v>
      </c>
      <c r="F124" s="275" t="s">
        <v>114</v>
      </c>
      <c r="G124" s="274">
        <v>98</v>
      </c>
      <c r="H124" s="273">
        <v>61</v>
      </c>
    </row>
    <row r="125" spans="1:8" ht="76.5" x14ac:dyDescent="0.2">
      <c r="A125" s="277">
        <v>75</v>
      </c>
      <c r="B125" s="275" t="s">
        <v>331</v>
      </c>
      <c r="C125" s="276" t="s">
        <v>332</v>
      </c>
      <c r="D125" s="276" t="s">
        <v>333</v>
      </c>
      <c r="E125" s="275" t="s">
        <v>200</v>
      </c>
      <c r="F125" s="275" t="s">
        <v>220</v>
      </c>
      <c r="G125" s="274">
        <v>222</v>
      </c>
      <c r="H125" s="273">
        <v>71</v>
      </c>
    </row>
    <row r="126" spans="1:8" ht="76.5" x14ac:dyDescent="0.2">
      <c r="A126" s="277">
        <v>75</v>
      </c>
      <c r="B126" s="275" t="s">
        <v>331</v>
      </c>
      <c r="C126" s="276" t="s">
        <v>332</v>
      </c>
      <c r="D126" s="276" t="s">
        <v>333</v>
      </c>
      <c r="E126" s="275" t="s">
        <v>221</v>
      </c>
      <c r="F126" s="275" t="s">
        <v>210</v>
      </c>
      <c r="G126" s="274">
        <v>177</v>
      </c>
      <c r="H126" s="273">
        <v>71</v>
      </c>
    </row>
    <row r="127" spans="1:8" ht="76.5" x14ac:dyDescent="0.2">
      <c r="A127" s="277">
        <v>75</v>
      </c>
      <c r="B127" s="275" t="s">
        <v>331</v>
      </c>
      <c r="C127" s="276" t="s">
        <v>332</v>
      </c>
      <c r="D127" s="276" t="s">
        <v>333</v>
      </c>
      <c r="E127" s="275" t="s">
        <v>211</v>
      </c>
      <c r="F127" s="275" t="s">
        <v>253</v>
      </c>
      <c r="G127" s="274">
        <v>229</v>
      </c>
      <c r="H127" s="273">
        <v>71</v>
      </c>
    </row>
    <row r="128" spans="1:8" ht="76.5" x14ac:dyDescent="0.2">
      <c r="A128" s="277">
        <v>75</v>
      </c>
      <c r="B128" s="275" t="s">
        <v>331</v>
      </c>
      <c r="C128" s="276" t="s">
        <v>332</v>
      </c>
      <c r="D128" s="276" t="s">
        <v>333</v>
      </c>
      <c r="E128" s="275" t="s">
        <v>254</v>
      </c>
      <c r="F128" s="275" t="s">
        <v>226</v>
      </c>
      <c r="G128" s="274">
        <v>162</v>
      </c>
      <c r="H128" s="273">
        <v>71</v>
      </c>
    </row>
    <row r="129" spans="1:8" ht="76.5" x14ac:dyDescent="0.2">
      <c r="A129" s="277">
        <v>75</v>
      </c>
      <c r="B129" s="275" t="s">
        <v>331</v>
      </c>
      <c r="C129" s="276" t="s">
        <v>332</v>
      </c>
      <c r="D129" s="276" t="s">
        <v>333</v>
      </c>
      <c r="E129" s="275" t="s">
        <v>227</v>
      </c>
      <c r="F129" s="275" t="s">
        <v>205</v>
      </c>
      <c r="G129" s="274">
        <v>222</v>
      </c>
      <c r="H129" s="273">
        <v>71</v>
      </c>
    </row>
    <row r="130" spans="1:8" x14ac:dyDescent="0.2">
      <c r="A130" s="277">
        <v>76</v>
      </c>
      <c r="B130" s="275" t="s">
        <v>334</v>
      </c>
      <c r="C130" s="276" t="s">
        <v>335</v>
      </c>
      <c r="D130" s="276" t="s">
        <v>336</v>
      </c>
      <c r="E130" s="275" t="s">
        <v>200</v>
      </c>
      <c r="F130" s="275" t="s">
        <v>224</v>
      </c>
      <c r="G130" s="274">
        <v>83</v>
      </c>
      <c r="H130" s="273">
        <v>46</v>
      </c>
    </row>
    <row r="131" spans="1:8" x14ac:dyDescent="0.2">
      <c r="A131" s="277">
        <v>76</v>
      </c>
      <c r="B131" s="275" t="s">
        <v>334</v>
      </c>
      <c r="C131" s="276" t="s">
        <v>335</v>
      </c>
      <c r="D131" s="276" t="s">
        <v>336</v>
      </c>
      <c r="E131" s="275" t="s">
        <v>225</v>
      </c>
      <c r="F131" s="275" t="s">
        <v>205</v>
      </c>
      <c r="G131" s="274">
        <v>101</v>
      </c>
      <c r="H131" s="273">
        <v>46</v>
      </c>
    </row>
    <row r="132" spans="1:8" x14ac:dyDescent="0.2">
      <c r="A132" s="277">
        <v>77</v>
      </c>
      <c r="B132" s="275" t="s">
        <v>334</v>
      </c>
      <c r="C132" s="276" t="s">
        <v>337</v>
      </c>
      <c r="D132" s="276" t="s">
        <v>338</v>
      </c>
      <c r="E132" s="275" t="s">
        <v>200</v>
      </c>
      <c r="F132" s="275" t="s">
        <v>253</v>
      </c>
      <c r="G132" s="274">
        <v>88</v>
      </c>
      <c r="H132" s="273">
        <v>46</v>
      </c>
    </row>
    <row r="133" spans="1:8" x14ac:dyDescent="0.2">
      <c r="A133" s="277">
        <v>77</v>
      </c>
      <c r="B133" s="275" t="s">
        <v>334</v>
      </c>
      <c r="C133" s="276" t="s">
        <v>337</v>
      </c>
      <c r="D133" s="276" t="s">
        <v>338</v>
      </c>
      <c r="E133" s="275" t="s">
        <v>254</v>
      </c>
      <c r="F133" s="275" t="s">
        <v>226</v>
      </c>
      <c r="G133" s="274">
        <v>137</v>
      </c>
      <c r="H133" s="273">
        <v>46</v>
      </c>
    </row>
    <row r="134" spans="1:8" x14ac:dyDescent="0.2">
      <c r="A134" s="277">
        <v>77</v>
      </c>
      <c r="B134" s="275" t="s">
        <v>334</v>
      </c>
      <c r="C134" s="276" t="s">
        <v>337</v>
      </c>
      <c r="D134" s="276" t="s">
        <v>338</v>
      </c>
      <c r="E134" s="275" t="s">
        <v>227</v>
      </c>
      <c r="F134" s="275" t="s">
        <v>205</v>
      </c>
      <c r="G134" s="274">
        <v>88</v>
      </c>
      <c r="H134" s="273">
        <v>46</v>
      </c>
    </row>
    <row r="135" spans="1:8" x14ac:dyDescent="0.2">
      <c r="A135" s="277">
        <v>78</v>
      </c>
      <c r="B135" s="275" t="s">
        <v>334</v>
      </c>
      <c r="C135" s="276" t="s">
        <v>339</v>
      </c>
      <c r="D135" s="276" t="s">
        <v>340</v>
      </c>
      <c r="E135" s="275" t="s">
        <v>114</v>
      </c>
      <c r="F135" s="275" t="s">
        <v>114</v>
      </c>
      <c r="G135" s="274">
        <v>120</v>
      </c>
      <c r="H135" s="273">
        <v>56</v>
      </c>
    </row>
    <row r="136" spans="1:8" x14ac:dyDescent="0.2">
      <c r="A136" s="277">
        <v>99</v>
      </c>
      <c r="B136" s="275" t="s">
        <v>341</v>
      </c>
      <c r="C136" s="276" t="s">
        <v>342</v>
      </c>
      <c r="D136" s="276" t="s">
        <v>343</v>
      </c>
      <c r="E136" s="275" t="s">
        <v>200</v>
      </c>
      <c r="F136" s="275" t="s">
        <v>208</v>
      </c>
      <c r="G136" s="274">
        <v>97</v>
      </c>
      <c r="H136" s="273">
        <v>71</v>
      </c>
    </row>
    <row r="137" spans="1:8" x14ac:dyDescent="0.2">
      <c r="A137" s="277">
        <v>99</v>
      </c>
      <c r="B137" s="275" t="s">
        <v>341</v>
      </c>
      <c r="C137" s="276" t="s">
        <v>342</v>
      </c>
      <c r="D137" s="276" t="s">
        <v>343</v>
      </c>
      <c r="E137" s="275" t="s">
        <v>209</v>
      </c>
      <c r="F137" s="275" t="s">
        <v>224</v>
      </c>
      <c r="G137" s="274">
        <v>157</v>
      </c>
      <c r="H137" s="273">
        <v>71</v>
      </c>
    </row>
    <row r="138" spans="1:8" x14ac:dyDescent="0.2">
      <c r="A138" s="277">
        <v>99</v>
      </c>
      <c r="B138" s="275" t="s">
        <v>341</v>
      </c>
      <c r="C138" s="276" t="s">
        <v>342</v>
      </c>
      <c r="D138" s="276" t="s">
        <v>343</v>
      </c>
      <c r="E138" s="275" t="s">
        <v>225</v>
      </c>
      <c r="F138" s="275" t="s">
        <v>205</v>
      </c>
      <c r="G138" s="274">
        <v>97</v>
      </c>
      <c r="H138" s="273">
        <v>71</v>
      </c>
    </row>
    <row r="139" spans="1:8" x14ac:dyDescent="0.2">
      <c r="A139" s="277">
        <v>80</v>
      </c>
      <c r="B139" s="275" t="s">
        <v>341</v>
      </c>
      <c r="C139" s="276" t="s">
        <v>344</v>
      </c>
      <c r="D139" s="276" t="s">
        <v>345</v>
      </c>
      <c r="E139" s="275" t="s">
        <v>200</v>
      </c>
      <c r="F139" s="275" t="s">
        <v>232</v>
      </c>
      <c r="G139" s="274">
        <v>83</v>
      </c>
      <c r="H139" s="273">
        <v>56</v>
      </c>
    </row>
    <row r="140" spans="1:8" x14ac:dyDescent="0.2">
      <c r="A140" s="277">
        <v>80</v>
      </c>
      <c r="B140" s="275" t="s">
        <v>341</v>
      </c>
      <c r="C140" s="276" t="s">
        <v>344</v>
      </c>
      <c r="D140" s="276" t="s">
        <v>345</v>
      </c>
      <c r="E140" s="275" t="s">
        <v>233</v>
      </c>
      <c r="F140" s="275" t="s">
        <v>258</v>
      </c>
      <c r="G140" s="274">
        <v>119</v>
      </c>
      <c r="H140" s="273">
        <v>56</v>
      </c>
    </row>
    <row r="141" spans="1:8" x14ac:dyDescent="0.2">
      <c r="A141" s="277">
        <v>80</v>
      </c>
      <c r="B141" s="275" t="s">
        <v>341</v>
      </c>
      <c r="C141" s="276" t="s">
        <v>344</v>
      </c>
      <c r="D141" s="276" t="s">
        <v>345</v>
      </c>
      <c r="E141" s="275" t="s">
        <v>259</v>
      </c>
      <c r="F141" s="275" t="s">
        <v>205</v>
      </c>
      <c r="G141" s="274">
        <v>83</v>
      </c>
      <c r="H141" s="273">
        <v>56</v>
      </c>
    </row>
    <row r="142" spans="1:8" x14ac:dyDescent="0.2">
      <c r="A142" s="277">
        <v>81</v>
      </c>
      <c r="B142" s="275" t="s">
        <v>341</v>
      </c>
      <c r="C142" s="276" t="s">
        <v>346</v>
      </c>
      <c r="D142" s="276" t="s">
        <v>347</v>
      </c>
      <c r="E142" s="275" t="s">
        <v>114</v>
      </c>
      <c r="F142" s="275" t="s">
        <v>114</v>
      </c>
      <c r="G142" s="274">
        <v>105</v>
      </c>
      <c r="H142" s="273">
        <v>51</v>
      </c>
    </row>
    <row r="143" spans="1:8" x14ac:dyDescent="0.2">
      <c r="A143" s="277">
        <v>82</v>
      </c>
      <c r="B143" s="275" t="s">
        <v>341</v>
      </c>
      <c r="C143" s="276" t="s">
        <v>348</v>
      </c>
      <c r="D143" s="276" t="s">
        <v>349</v>
      </c>
      <c r="E143" s="275" t="s">
        <v>200</v>
      </c>
      <c r="F143" s="275" t="s">
        <v>232</v>
      </c>
      <c r="G143" s="274">
        <v>83</v>
      </c>
      <c r="H143" s="273">
        <v>51</v>
      </c>
    </row>
    <row r="144" spans="1:8" x14ac:dyDescent="0.2">
      <c r="A144" s="277">
        <v>82</v>
      </c>
      <c r="B144" s="275" t="s">
        <v>341</v>
      </c>
      <c r="C144" s="276" t="s">
        <v>348</v>
      </c>
      <c r="D144" s="276" t="s">
        <v>349</v>
      </c>
      <c r="E144" s="275" t="s">
        <v>233</v>
      </c>
      <c r="F144" s="275" t="s">
        <v>258</v>
      </c>
      <c r="G144" s="274">
        <v>110</v>
      </c>
      <c r="H144" s="273">
        <v>51</v>
      </c>
    </row>
    <row r="145" spans="1:8" x14ac:dyDescent="0.2">
      <c r="A145" s="277">
        <v>82</v>
      </c>
      <c r="B145" s="275" t="s">
        <v>341</v>
      </c>
      <c r="C145" s="276" t="s">
        <v>348</v>
      </c>
      <c r="D145" s="276" t="s">
        <v>349</v>
      </c>
      <c r="E145" s="275" t="s">
        <v>259</v>
      </c>
      <c r="F145" s="275" t="s">
        <v>203</v>
      </c>
      <c r="G145" s="274">
        <v>90</v>
      </c>
      <c r="H145" s="273">
        <v>51</v>
      </c>
    </row>
    <row r="146" spans="1:8" x14ac:dyDescent="0.2">
      <c r="A146" s="277">
        <v>82</v>
      </c>
      <c r="B146" s="275" t="s">
        <v>341</v>
      </c>
      <c r="C146" s="276" t="s">
        <v>348</v>
      </c>
      <c r="D146" s="276" t="s">
        <v>349</v>
      </c>
      <c r="E146" s="275" t="s">
        <v>204</v>
      </c>
      <c r="F146" s="275" t="s">
        <v>205</v>
      </c>
      <c r="G146" s="274">
        <v>83</v>
      </c>
      <c r="H146" s="273">
        <v>51</v>
      </c>
    </row>
    <row r="147" spans="1:8" x14ac:dyDescent="0.2">
      <c r="A147" s="277">
        <v>84</v>
      </c>
      <c r="B147" s="275" t="s">
        <v>341</v>
      </c>
      <c r="C147" s="276" t="s">
        <v>350</v>
      </c>
      <c r="D147" s="276" t="s">
        <v>351</v>
      </c>
      <c r="E147" s="275" t="s">
        <v>200</v>
      </c>
      <c r="F147" s="275" t="s">
        <v>208</v>
      </c>
      <c r="G147" s="274">
        <v>134</v>
      </c>
      <c r="H147" s="273">
        <v>71</v>
      </c>
    </row>
    <row r="148" spans="1:8" x14ac:dyDescent="0.2">
      <c r="A148" s="277">
        <v>84</v>
      </c>
      <c r="B148" s="275" t="s">
        <v>341</v>
      </c>
      <c r="C148" s="276" t="s">
        <v>350</v>
      </c>
      <c r="D148" s="276" t="s">
        <v>351</v>
      </c>
      <c r="E148" s="275" t="s">
        <v>209</v>
      </c>
      <c r="F148" s="275" t="s">
        <v>258</v>
      </c>
      <c r="G148" s="274">
        <v>188</v>
      </c>
      <c r="H148" s="273">
        <v>71</v>
      </c>
    </row>
    <row r="149" spans="1:8" x14ac:dyDescent="0.2">
      <c r="A149" s="277">
        <v>84</v>
      </c>
      <c r="B149" s="275" t="s">
        <v>341</v>
      </c>
      <c r="C149" s="276" t="s">
        <v>350</v>
      </c>
      <c r="D149" s="276" t="s">
        <v>351</v>
      </c>
      <c r="E149" s="275" t="s">
        <v>259</v>
      </c>
      <c r="F149" s="275" t="s">
        <v>201</v>
      </c>
      <c r="G149" s="274">
        <v>140</v>
      </c>
      <c r="H149" s="273">
        <v>71</v>
      </c>
    </row>
    <row r="150" spans="1:8" x14ac:dyDescent="0.2">
      <c r="A150" s="277">
        <v>84</v>
      </c>
      <c r="B150" s="275" t="s">
        <v>341</v>
      </c>
      <c r="C150" s="276" t="s">
        <v>350</v>
      </c>
      <c r="D150" s="276" t="s">
        <v>351</v>
      </c>
      <c r="E150" s="275" t="s">
        <v>202</v>
      </c>
      <c r="F150" s="275" t="s">
        <v>205</v>
      </c>
      <c r="G150" s="274">
        <v>109</v>
      </c>
      <c r="H150" s="273">
        <v>71</v>
      </c>
    </row>
    <row r="151" spans="1:8" x14ac:dyDescent="0.2">
      <c r="A151" s="277">
        <v>85</v>
      </c>
      <c r="B151" s="275" t="s">
        <v>341</v>
      </c>
      <c r="C151" s="276" t="s">
        <v>352</v>
      </c>
      <c r="D151" s="276" t="s">
        <v>353</v>
      </c>
      <c r="E151" s="275" t="s">
        <v>200</v>
      </c>
      <c r="F151" s="275" t="s">
        <v>208</v>
      </c>
      <c r="G151" s="274">
        <v>93</v>
      </c>
      <c r="H151" s="273">
        <v>56</v>
      </c>
    </row>
    <row r="152" spans="1:8" x14ac:dyDescent="0.2">
      <c r="A152" s="277">
        <v>85</v>
      </c>
      <c r="B152" s="275" t="s">
        <v>341</v>
      </c>
      <c r="C152" s="276" t="s">
        <v>352</v>
      </c>
      <c r="D152" s="276" t="s">
        <v>353</v>
      </c>
      <c r="E152" s="275" t="s">
        <v>209</v>
      </c>
      <c r="F152" s="275" t="s">
        <v>224</v>
      </c>
      <c r="G152" s="274">
        <v>142</v>
      </c>
      <c r="H152" s="273">
        <v>56</v>
      </c>
    </row>
    <row r="153" spans="1:8" x14ac:dyDescent="0.2">
      <c r="A153" s="277">
        <v>85</v>
      </c>
      <c r="B153" s="275" t="s">
        <v>341</v>
      </c>
      <c r="C153" s="276" t="s">
        <v>352</v>
      </c>
      <c r="D153" s="276" t="s">
        <v>353</v>
      </c>
      <c r="E153" s="275" t="s">
        <v>225</v>
      </c>
      <c r="F153" s="275" t="s">
        <v>205</v>
      </c>
      <c r="G153" s="274">
        <v>93</v>
      </c>
      <c r="H153" s="273">
        <v>56</v>
      </c>
    </row>
    <row r="154" spans="1:8" ht="25.5" x14ac:dyDescent="0.2">
      <c r="A154" s="277">
        <v>83</v>
      </c>
      <c r="B154" s="275" t="s">
        <v>341</v>
      </c>
      <c r="C154" s="276" t="s">
        <v>354</v>
      </c>
      <c r="D154" s="276" t="s">
        <v>1084</v>
      </c>
      <c r="E154" s="275" t="s">
        <v>200</v>
      </c>
      <c r="F154" s="275" t="s">
        <v>220</v>
      </c>
      <c r="G154" s="274">
        <v>129</v>
      </c>
      <c r="H154" s="273">
        <v>51</v>
      </c>
    </row>
    <row r="155" spans="1:8" ht="25.5" x14ac:dyDescent="0.2">
      <c r="A155" s="277">
        <v>83</v>
      </c>
      <c r="B155" s="275" t="s">
        <v>341</v>
      </c>
      <c r="C155" s="276" t="s">
        <v>354</v>
      </c>
      <c r="D155" s="276" t="s">
        <v>1084</v>
      </c>
      <c r="E155" s="275" t="s">
        <v>221</v>
      </c>
      <c r="F155" s="275" t="s">
        <v>210</v>
      </c>
      <c r="G155" s="274">
        <v>86</v>
      </c>
      <c r="H155" s="273">
        <v>51</v>
      </c>
    </row>
    <row r="156" spans="1:8" ht="25.5" x14ac:dyDescent="0.2">
      <c r="A156" s="277">
        <v>83</v>
      </c>
      <c r="B156" s="275" t="s">
        <v>341</v>
      </c>
      <c r="C156" s="276" t="s">
        <v>354</v>
      </c>
      <c r="D156" s="276" t="s">
        <v>1084</v>
      </c>
      <c r="E156" s="275" t="s">
        <v>211</v>
      </c>
      <c r="F156" s="275" t="s">
        <v>201</v>
      </c>
      <c r="G156" s="274">
        <v>145</v>
      </c>
      <c r="H156" s="273">
        <v>51</v>
      </c>
    </row>
    <row r="157" spans="1:8" ht="25.5" x14ac:dyDescent="0.2">
      <c r="A157" s="277">
        <v>83</v>
      </c>
      <c r="B157" s="275" t="s">
        <v>341</v>
      </c>
      <c r="C157" s="276" t="s">
        <v>354</v>
      </c>
      <c r="D157" s="276" t="s">
        <v>1084</v>
      </c>
      <c r="E157" s="275" t="s">
        <v>202</v>
      </c>
      <c r="F157" s="275" t="s">
        <v>203</v>
      </c>
      <c r="G157" s="274">
        <v>196</v>
      </c>
      <c r="H157" s="273">
        <v>51</v>
      </c>
    </row>
    <row r="158" spans="1:8" ht="25.5" x14ac:dyDescent="0.2">
      <c r="A158" s="277">
        <v>83</v>
      </c>
      <c r="B158" s="275" t="s">
        <v>341</v>
      </c>
      <c r="C158" s="276" t="s">
        <v>354</v>
      </c>
      <c r="D158" s="276" t="s">
        <v>1084</v>
      </c>
      <c r="E158" s="275" t="s">
        <v>204</v>
      </c>
      <c r="F158" s="275" t="s">
        <v>205</v>
      </c>
      <c r="G158" s="274">
        <v>129</v>
      </c>
      <c r="H158" s="273">
        <v>51</v>
      </c>
    </row>
    <row r="159" spans="1:8" x14ac:dyDescent="0.2">
      <c r="A159" s="277">
        <v>88</v>
      </c>
      <c r="B159" s="275" t="s">
        <v>341</v>
      </c>
      <c r="C159" s="276" t="s">
        <v>355</v>
      </c>
      <c r="D159" s="276" t="s">
        <v>356</v>
      </c>
      <c r="E159" s="275" t="s">
        <v>114</v>
      </c>
      <c r="F159" s="275" t="s">
        <v>114</v>
      </c>
      <c r="G159" s="274">
        <v>94</v>
      </c>
      <c r="H159" s="273">
        <v>51</v>
      </c>
    </row>
    <row r="160" spans="1:8" x14ac:dyDescent="0.2">
      <c r="A160" s="277">
        <v>89</v>
      </c>
      <c r="B160" s="275" t="s">
        <v>341</v>
      </c>
      <c r="C160" s="276" t="s">
        <v>357</v>
      </c>
      <c r="D160" s="276" t="s">
        <v>280</v>
      </c>
      <c r="E160" s="275" t="s">
        <v>200</v>
      </c>
      <c r="F160" s="275" t="s">
        <v>201</v>
      </c>
      <c r="G160" s="274">
        <v>83</v>
      </c>
      <c r="H160" s="273">
        <v>51</v>
      </c>
    </row>
    <row r="161" spans="1:8" x14ac:dyDescent="0.2">
      <c r="A161" s="277">
        <v>89</v>
      </c>
      <c r="B161" s="275" t="s">
        <v>341</v>
      </c>
      <c r="C161" s="276" t="s">
        <v>357</v>
      </c>
      <c r="D161" s="276" t="s">
        <v>280</v>
      </c>
      <c r="E161" s="275" t="s">
        <v>202</v>
      </c>
      <c r="F161" s="275" t="s">
        <v>203</v>
      </c>
      <c r="G161" s="274">
        <v>108</v>
      </c>
      <c r="H161" s="273">
        <v>51</v>
      </c>
    </row>
    <row r="162" spans="1:8" x14ac:dyDescent="0.2">
      <c r="A162" s="277">
        <v>89</v>
      </c>
      <c r="B162" s="275" t="s">
        <v>341</v>
      </c>
      <c r="C162" s="276" t="s">
        <v>357</v>
      </c>
      <c r="D162" s="276" t="s">
        <v>280</v>
      </c>
      <c r="E162" s="275" t="s">
        <v>204</v>
      </c>
      <c r="F162" s="275" t="s">
        <v>205</v>
      </c>
      <c r="G162" s="274">
        <v>83</v>
      </c>
      <c r="H162" s="273">
        <v>51</v>
      </c>
    </row>
    <row r="163" spans="1:8" x14ac:dyDescent="0.2">
      <c r="A163" s="277">
        <v>91</v>
      </c>
      <c r="B163" s="275" t="s">
        <v>341</v>
      </c>
      <c r="C163" s="276" t="s">
        <v>358</v>
      </c>
      <c r="D163" s="276" t="s">
        <v>359</v>
      </c>
      <c r="E163" s="275" t="s">
        <v>200</v>
      </c>
      <c r="F163" s="275" t="s">
        <v>256</v>
      </c>
      <c r="G163" s="274">
        <v>183</v>
      </c>
      <c r="H163" s="273">
        <v>71</v>
      </c>
    </row>
    <row r="164" spans="1:8" x14ac:dyDescent="0.2">
      <c r="A164" s="277">
        <v>91</v>
      </c>
      <c r="B164" s="275" t="s">
        <v>341</v>
      </c>
      <c r="C164" s="276" t="s">
        <v>358</v>
      </c>
      <c r="D164" s="276" t="s">
        <v>359</v>
      </c>
      <c r="E164" s="275" t="s">
        <v>257</v>
      </c>
      <c r="F164" s="275" t="s">
        <v>232</v>
      </c>
      <c r="G164" s="274">
        <v>230</v>
      </c>
      <c r="H164" s="273">
        <v>71</v>
      </c>
    </row>
    <row r="165" spans="1:8" x14ac:dyDescent="0.2">
      <c r="A165" s="277">
        <v>91</v>
      </c>
      <c r="B165" s="275" t="s">
        <v>341</v>
      </c>
      <c r="C165" s="276" t="s">
        <v>358</v>
      </c>
      <c r="D165" s="276" t="s">
        <v>359</v>
      </c>
      <c r="E165" s="275" t="s">
        <v>233</v>
      </c>
      <c r="F165" s="275" t="s">
        <v>258</v>
      </c>
      <c r="G165" s="274">
        <v>279</v>
      </c>
      <c r="H165" s="273">
        <v>71</v>
      </c>
    </row>
    <row r="166" spans="1:8" x14ac:dyDescent="0.2">
      <c r="A166" s="277">
        <v>91</v>
      </c>
      <c r="B166" s="275" t="s">
        <v>341</v>
      </c>
      <c r="C166" s="276" t="s">
        <v>358</v>
      </c>
      <c r="D166" s="276" t="s">
        <v>359</v>
      </c>
      <c r="E166" s="275" t="s">
        <v>259</v>
      </c>
      <c r="F166" s="275" t="s">
        <v>205</v>
      </c>
      <c r="G166" s="274">
        <v>183</v>
      </c>
      <c r="H166" s="273">
        <v>71</v>
      </c>
    </row>
    <row r="167" spans="1:8" x14ac:dyDescent="0.2">
      <c r="A167" s="277">
        <v>95</v>
      </c>
      <c r="B167" s="275" t="s">
        <v>341</v>
      </c>
      <c r="C167" s="276" t="s">
        <v>360</v>
      </c>
      <c r="D167" s="276" t="s">
        <v>361</v>
      </c>
      <c r="E167" s="275" t="s">
        <v>200</v>
      </c>
      <c r="F167" s="275" t="s">
        <v>208</v>
      </c>
      <c r="G167" s="274">
        <v>152</v>
      </c>
      <c r="H167" s="273">
        <v>66</v>
      </c>
    </row>
    <row r="168" spans="1:8" x14ac:dyDescent="0.2">
      <c r="A168" s="277">
        <v>95</v>
      </c>
      <c r="B168" s="275" t="s">
        <v>341</v>
      </c>
      <c r="C168" s="276" t="s">
        <v>360</v>
      </c>
      <c r="D168" s="276" t="s">
        <v>361</v>
      </c>
      <c r="E168" s="275" t="s">
        <v>209</v>
      </c>
      <c r="F168" s="275" t="s">
        <v>258</v>
      </c>
      <c r="G168" s="274">
        <v>203</v>
      </c>
      <c r="H168" s="273">
        <v>66</v>
      </c>
    </row>
    <row r="169" spans="1:8" x14ac:dyDescent="0.2">
      <c r="A169" s="277">
        <v>95</v>
      </c>
      <c r="B169" s="275" t="s">
        <v>341</v>
      </c>
      <c r="C169" s="276" t="s">
        <v>360</v>
      </c>
      <c r="D169" s="276" t="s">
        <v>361</v>
      </c>
      <c r="E169" s="275" t="s">
        <v>259</v>
      </c>
      <c r="F169" s="275" t="s">
        <v>201</v>
      </c>
      <c r="G169" s="274">
        <v>146</v>
      </c>
      <c r="H169" s="273">
        <v>66</v>
      </c>
    </row>
    <row r="170" spans="1:8" x14ac:dyDescent="0.2">
      <c r="A170" s="277">
        <v>95</v>
      </c>
      <c r="B170" s="275" t="s">
        <v>341</v>
      </c>
      <c r="C170" s="276" t="s">
        <v>360</v>
      </c>
      <c r="D170" s="276" t="s">
        <v>361</v>
      </c>
      <c r="E170" s="275" t="s">
        <v>202</v>
      </c>
      <c r="F170" s="275" t="s">
        <v>205</v>
      </c>
      <c r="G170" s="274">
        <v>119</v>
      </c>
      <c r="H170" s="273">
        <v>66</v>
      </c>
    </row>
    <row r="171" spans="1:8" x14ac:dyDescent="0.2">
      <c r="A171" s="277">
        <v>96</v>
      </c>
      <c r="B171" s="275" t="s">
        <v>341</v>
      </c>
      <c r="C171" s="276" t="s">
        <v>362</v>
      </c>
      <c r="D171" s="276" t="s">
        <v>363</v>
      </c>
      <c r="E171" s="275" t="s">
        <v>200</v>
      </c>
      <c r="F171" s="275" t="s">
        <v>208</v>
      </c>
      <c r="G171" s="274">
        <v>136</v>
      </c>
      <c r="H171" s="273">
        <v>61</v>
      </c>
    </row>
    <row r="172" spans="1:8" x14ac:dyDescent="0.2">
      <c r="A172" s="277">
        <v>96</v>
      </c>
      <c r="B172" s="275" t="s">
        <v>341</v>
      </c>
      <c r="C172" s="276" t="s">
        <v>362</v>
      </c>
      <c r="D172" s="276" t="s">
        <v>363</v>
      </c>
      <c r="E172" s="275" t="s">
        <v>209</v>
      </c>
      <c r="F172" s="275" t="s">
        <v>224</v>
      </c>
      <c r="G172" s="274">
        <v>203</v>
      </c>
      <c r="H172" s="273">
        <v>61</v>
      </c>
    </row>
    <row r="173" spans="1:8" x14ac:dyDescent="0.2">
      <c r="A173" s="277">
        <v>96</v>
      </c>
      <c r="B173" s="275" t="s">
        <v>341</v>
      </c>
      <c r="C173" s="276" t="s">
        <v>362</v>
      </c>
      <c r="D173" s="276" t="s">
        <v>363</v>
      </c>
      <c r="E173" s="275" t="s">
        <v>225</v>
      </c>
      <c r="F173" s="275" t="s">
        <v>205</v>
      </c>
      <c r="G173" s="274">
        <v>116</v>
      </c>
      <c r="H173" s="273">
        <v>61</v>
      </c>
    </row>
    <row r="174" spans="1:8" x14ac:dyDescent="0.2">
      <c r="A174" s="277">
        <v>98</v>
      </c>
      <c r="B174" s="275" t="s">
        <v>341</v>
      </c>
      <c r="C174" s="276" t="s">
        <v>364</v>
      </c>
      <c r="D174" s="276" t="s">
        <v>365</v>
      </c>
      <c r="E174" s="275" t="s">
        <v>114</v>
      </c>
      <c r="F174" s="275" t="s">
        <v>114</v>
      </c>
      <c r="G174" s="274">
        <v>115</v>
      </c>
      <c r="H174" s="273">
        <v>56</v>
      </c>
    </row>
    <row r="175" spans="1:8" x14ac:dyDescent="0.2">
      <c r="A175" s="277">
        <v>100</v>
      </c>
      <c r="B175" s="275" t="s">
        <v>341</v>
      </c>
      <c r="C175" s="276" t="s">
        <v>366</v>
      </c>
      <c r="D175" s="276" t="s">
        <v>367</v>
      </c>
      <c r="E175" s="275" t="s">
        <v>200</v>
      </c>
      <c r="F175" s="275" t="s">
        <v>210</v>
      </c>
      <c r="G175" s="274">
        <v>83</v>
      </c>
      <c r="H175" s="273">
        <v>51</v>
      </c>
    </row>
    <row r="176" spans="1:8" x14ac:dyDescent="0.2">
      <c r="A176" s="277">
        <v>100</v>
      </c>
      <c r="B176" s="275" t="s">
        <v>341</v>
      </c>
      <c r="C176" s="276" t="s">
        <v>366</v>
      </c>
      <c r="D176" s="276" t="s">
        <v>367</v>
      </c>
      <c r="E176" s="275" t="s">
        <v>211</v>
      </c>
      <c r="F176" s="275" t="s">
        <v>203</v>
      </c>
      <c r="G176" s="274">
        <v>119</v>
      </c>
      <c r="H176" s="273">
        <v>51</v>
      </c>
    </row>
    <row r="177" spans="1:8" x14ac:dyDescent="0.2">
      <c r="A177" s="277">
        <v>100</v>
      </c>
      <c r="B177" s="275" t="s">
        <v>341</v>
      </c>
      <c r="C177" s="276" t="s">
        <v>366</v>
      </c>
      <c r="D177" s="276" t="s">
        <v>367</v>
      </c>
      <c r="E177" s="275" t="s">
        <v>204</v>
      </c>
      <c r="F177" s="275" t="s">
        <v>205</v>
      </c>
      <c r="G177" s="274">
        <v>83</v>
      </c>
      <c r="H177" s="273">
        <v>51</v>
      </c>
    </row>
    <row r="178" spans="1:8" x14ac:dyDescent="0.2">
      <c r="A178" s="277">
        <v>101</v>
      </c>
      <c r="B178" s="275" t="s">
        <v>341</v>
      </c>
      <c r="C178" s="276" t="s">
        <v>368</v>
      </c>
      <c r="D178" s="276" t="s">
        <v>369</v>
      </c>
      <c r="E178" s="275" t="s">
        <v>200</v>
      </c>
      <c r="F178" s="275" t="s">
        <v>210</v>
      </c>
      <c r="G178" s="274">
        <v>94</v>
      </c>
      <c r="H178" s="273">
        <v>46</v>
      </c>
    </row>
    <row r="179" spans="1:8" x14ac:dyDescent="0.2">
      <c r="A179" s="277">
        <v>101</v>
      </c>
      <c r="B179" s="275" t="s">
        <v>341</v>
      </c>
      <c r="C179" s="276" t="s">
        <v>368</v>
      </c>
      <c r="D179" s="276" t="s">
        <v>369</v>
      </c>
      <c r="E179" s="275" t="s">
        <v>211</v>
      </c>
      <c r="F179" s="275" t="s">
        <v>226</v>
      </c>
      <c r="G179" s="274">
        <v>121</v>
      </c>
      <c r="H179" s="273">
        <v>46</v>
      </c>
    </row>
    <row r="180" spans="1:8" x14ac:dyDescent="0.2">
      <c r="A180" s="277">
        <v>101</v>
      </c>
      <c r="B180" s="275" t="s">
        <v>341</v>
      </c>
      <c r="C180" s="276" t="s">
        <v>368</v>
      </c>
      <c r="D180" s="276" t="s">
        <v>369</v>
      </c>
      <c r="E180" s="275" t="s">
        <v>227</v>
      </c>
      <c r="F180" s="275" t="s">
        <v>205</v>
      </c>
      <c r="G180" s="274">
        <v>94</v>
      </c>
      <c r="H180" s="273">
        <v>46</v>
      </c>
    </row>
    <row r="181" spans="1:8" x14ac:dyDescent="0.2">
      <c r="A181" s="277">
        <v>102</v>
      </c>
      <c r="B181" s="275" t="s">
        <v>341</v>
      </c>
      <c r="C181" s="276" t="s">
        <v>370</v>
      </c>
      <c r="D181" s="276" t="s">
        <v>371</v>
      </c>
      <c r="E181" s="275" t="s">
        <v>200</v>
      </c>
      <c r="F181" s="275" t="s">
        <v>232</v>
      </c>
      <c r="G181" s="274">
        <v>83</v>
      </c>
      <c r="H181" s="273">
        <v>51</v>
      </c>
    </row>
    <row r="182" spans="1:8" x14ac:dyDescent="0.2">
      <c r="A182" s="277">
        <v>102</v>
      </c>
      <c r="B182" s="275" t="s">
        <v>341</v>
      </c>
      <c r="C182" s="276" t="s">
        <v>370</v>
      </c>
      <c r="D182" s="276" t="s">
        <v>371</v>
      </c>
      <c r="E182" s="275" t="s">
        <v>233</v>
      </c>
      <c r="F182" s="275" t="s">
        <v>258</v>
      </c>
      <c r="G182" s="274">
        <v>123</v>
      </c>
      <c r="H182" s="273">
        <v>51</v>
      </c>
    </row>
    <row r="183" spans="1:8" x14ac:dyDescent="0.2">
      <c r="A183" s="277">
        <v>102</v>
      </c>
      <c r="B183" s="275" t="s">
        <v>341</v>
      </c>
      <c r="C183" s="276" t="s">
        <v>370</v>
      </c>
      <c r="D183" s="276" t="s">
        <v>371</v>
      </c>
      <c r="E183" s="275" t="s">
        <v>259</v>
      </c>
      <c r="F183" s="275" t="s">
        <v>205</v>
      </c>
      <c r="G183" s="274">
        <v>83</v>
      </c>
      <c r="H183" s="273">
        <v>51</v>
      </c>
    </row>
    <row r="184" spans="1:8" x14ac:dyDescent="0.2">
      <c r="A184" s="277">
        <v>103</v>
      </c>
      <c r="B184" s="275" t="s">
        <v>341</v>
      </c>
      <c r="C184" s="276" t="s">
        <v>372</v>
      </c>
      <c r="D184" s="276" t="s">
        <v>372</v>
      </c>
      <c r="E184" s="275" t="s">
        <v>200</v>
      </c>
      <c r="F184" s="275" t="s">
        <v>208</v>
      </c>
      <c r="G184" s="274">
        <v>92</v>
      </c>
      <c r="H184" s="273">
        <v>56</v>
      </c>
    </row>
    <row r="185" spans="1:8" x14ac:dyDescent="0.2">
      <c r="A185" s="277">
        <v>103</v>
      </c>
      <c r="B185" s="275" t="s">
        <v>341</v>
      </c>
      <c r="C185" s="276" t="s">
        <v>372</v>
      </c>
      <c r="D185" s="276" t="s">
        <v>372</v>
      </c>
      <c r="E185" s="275" t="s">
        <v>209</v>
      </c>
      <c r="F185" s="275" t="s">
        <v>224</v>
      </c>
      <c r="G185" s="274">
        <v>126</v>
      </c>
      <c r="H185" s="273">
        <v>56</v>
      </c>
    </row>
    <row r="186" spans="1:8" x14ac:dyDescent="0.2">
      <c r="A186" s="277">
        <v>103</v>
      </c>
      <c r="B186" s="275" t="s">
        <v>341</v>
      </c>
      <c r="C186" s="276" t="s">
        <v>372</v>
      </c>
      <c r="D186" s="276" t="s">
        <v>372</v>
      </c>
      <c r="E186" s="275" t="s">
        <v>225</v>
      </c>
      <c r="F186" s="275" t="s">
        <v>205</v>
      </c>
      <c r="G186" s="274">
        <v>92</v>
      </c>
      <c r="H186" s="273">
        <v>56</v>
      </c>
    </row>
    <row r="187" spans="1:8" x14ac:dyDescent="0.2">
      <c r="A187" s="277">
        <v>104</v>
      </c>
      <c r="B187" s="275" t="s">
        <v>341</v>
      </c>
      <c r="C187" s="276" t="s">
        <v>373</v>
      </c>
      <c r="D187" s="276" t="s">
        <v>374</v>
      </c>
      <c r="E187" s="275" t="s">
        <v>114</v>
      </c>
      <c r="F187" s="275" t="s">
        <v>114</v>
      </c>
      <c r="G187" s="274">
        <v>99</v>
      </c>
      <c r="H187" s="273">
        <v>46</v>
      </c>
    </row>
    <row r="188" spans="1:8" x14ac:dyDescent="0.2">
      <c r="A188" s="277">
        <v>105</v>
      </c>
      <c r="B188" s="275" t="s">
        <v>341</v>
      </c>
      <c r="C188" s="276" t="s">
        <v>375</v>
      </c>
      <c r="D188" s="276" t="s">
        <v>376</v>
      </c>
      <c r="E188" s="275" t="s">
        <v>114</v>
      </c>
      <c r="F188" s="275" t="s">
        <v>114</v>
      </c>
      <c r="G188" s="274">
        <v>107</v>
      </c>
      <c r="H188" s="273">
        <v>56</v>
      </c>
    </row>
    <row r="189" spans="1:8" x14ac:dyDescent="0.2">
      <c r="A189" s="277">
        <v>106</v>
      </c>
      <c r="B189" s="275" t="s">
        <v>341</v>
      </c>
      <c r="C189" s="276" t="s">
        <v>377</v>
      </c>
      <c r="D189" s="276" t="s">
        <v>378</v>
      </c>
      <c r="E189" s="275" t="s">
        <v>114</v>
      </c>
      <c r="F189" s="275" t="s">
        <v>114</v>
      </c>
      <c r="G189" s="274">
        <v>91</v>
      </c>
      <c r="H189" s="273">
        <v>51</v>
      </c>
    </row>
    <row r="190" spans="1:8" x14ac:dyDescent="0.2">
      <c r="A190" s="277">
        <v>107</v>
      </c>
      <c r="B190" s="275" t="s">
        <v>341</v>
      </c>
      <c r="C190" s="276" t="s">
        <v>379</v>
      </c>
      <c r="D190" s="276" t="s">
        <v>380</v>
      </c>
      <c r="E190" s="275" t="s">
        <v>200</v>
      </c>
      <c r="F190" s="275" t="s">
        <v>208</v>
      </c>
      <c r="G190" s="274">
        <v>88</v>
      </c>
      <c r="H190" s="273">
        <v>46</v>
      </c>
    </row>
    <row r="191" spans="1:8" x14ac:dyDescent="0.2">
      <c r="A191" s="277">
        <v>107</v>
      </c>
      <c r="B191" s="275" t="s">
        <v>341</v>
      </c>
      <c r="C191" s="276" t="s">
        <v>379</v>
      </c>
      <c r="D191" s="276" t="s">
        <v>380</v>
      </c>
      <c r="E191" s="275" t="s">
        <v>209</v>
      </c>
      <c r="F191" s="275" t="s">
        <v>224</v>
      </c>
      <c r="G191" s="274">
        <v>104</v>
      </c>
      <c r="H191" s="273">
        <v>46</v>
      </c>
    </row>
    <row r="192" spans="1:8" x14ac:dyDescent="0.2">
      <c r="A192" s="277">
        <v>107</v>
      </c>
      <c r="B192" s="275" t="s">
        <v>341</v>
      </c>
      <c r="C192" s="276" t="s">
        <v>379</v>
      </c>
      <c r="D192" s="276" t="s">
        <v>380</v>
      </c>
      <c r="E192" s="275" t="s">
        <v>225</v>
      </c>
      <c r="F192" s="275" t="s">
        <v>205</v>
      </c>
      <c r="G192" s="274">
        <v>88</v>
      </c>
      <c r="H192" s="273">
        <v>46</v>
      </c>
    </row>
    <row r="193" spans="1:8" x14ac:dyDescent="0.2">
      <c r="A193" s="277">
        <v>108</v>
      </c>
      <c r="B193" s="275" t="s">
        <v>341</v>
      </c>
      <c r="C193" s="276" t="s">
        <v>381</v>
      </c>
      <c r="D193" s="276" t="s">
        <v>1083</v>
      </c>
      <c r="E193" s="275" t="s">
        <v>200</v>
      </c>
      <c r="F193" s="275" t="s">
        <v>208</v>
      </c>
      <c r="G193" s="274">
        <v>104</v>
      </c>
      <c r="H193" s="273">
        <v>51</v>
      </c>
    </row>
    <row r="194" spans="1:8" x14ac:dyDescent="0.2">
      <c r="A194" s="277">
        <v>108</v>
      </c>
      <c r="B194" s="275" t="s">
        <v>341</v>
      </c>
      <c r="C194" s="276" t="s">
        <v>381</v>
      </c>
      <c r="D194" s="276" t="s">
        <v>1083</v>
      </c>
      <c r="E194" s="275" t="s">
        <v>209</v>
      </c>
      <c r="F194" s="275" t="s">
        <v>210</v>
      </c>
      <c r="G194" s="274">
        <v>115</v>
      </c>
      <c r="H194" s="273">
        <v>51</v>
      </c>
    </row>
    <row r="195" spans="1:8" x14ac:dyDescent="0.2">
      <c r="A195" s="277">
        <v>108</v>
      </c>
      <c r="B195" s="275" t="s">
        <v>341</v>
      </c>
      <c r="C195" s="276" t="s">
        <v>381</v>
      </c>
      <c r="D195" s="276" t="s">
        <v>1083</v>
      </c>
      <c r="E195" s="275" t="s">
        <v>211</v>
      </c>
      <c r="F195" s="275" t="s">
        <v>205</v>
      </c>
      <c r="G195" s="274">
        <v>104</v>
      </c>
      <c r="H195" s="273">
        <v>51</v>
      </c>
    </row>
    <row r="196" spans="1:8" x14ac:dyDescent="0.2">
      <c r="A196" s="277">
        <v>109</v>
      </c>
      <c r="B196" s="275" t="s">
        <v>341</v>
      </c>
      <c r="C196" s="276" t="s">
        <v>382</v>
      </c>
      <c r="D196" s="276" t="s">
        <v>383</v>
      </c>
      <c r="E196" s="275" t="s">
        <v>200</v>
      </c>
      <c r="F196" s="275" t="s">
        <v>232</v>
      </c>
      <c r="G196" s="274">
        <v>109</v>
      </c>
      <c r="H196" s="273">
        <v>51</v>
      </c>
    </row>
    <row r="197" spans="1:8" x14ac:dyDescent="0.2">
      <c r="A197" s="277">
        <v>109</v>
      </c>
      <c r="B197" s="275" t="s">
        <v>341</v>
      </c>
      <c r="C197" s="276" t="s">
        <v>382</v>
      </c>
      <c r="D197" s="276" t="s">
        <v>383</v>
      </c>
      <c r="E197" s="275" t="s">
        <v>233</v>
      </c>
      <c r="F197" s="275" t="s">
        <v>224</v>
      </c>
      <c r="G197" s="274">
        <v>155</v>
      </c>
      <c r="H197" s="273">
        <v>51</v>
      </c>
    </row>
    <row r="198" spans="1:8" x14ac:dyDescent="0.2">
      <c r="A198" s="277">
        <v>109</v>
      </c>
      <c r="B198" s="275" t="s">
        <v>341</v>
      </c>
      <c r="C198" s="276" t="s">
        <v>382</v>
      </c>
      <c r="D198" s="276" t="s">
        <v>383</v>
      </c>
      <c r="E198" s="275" t="s">
        <v>225</v>
      </c>
      <c r="F198" s="275" t="s">
        <v>205</v>
      </c>
      <c r="G198" s="274">
        <v>109</v>
      </c>
      <c r="H198" s="273">
        <v>51</v>
      </c>
    </row>
    <row r="199" spans="1:8" x14ac:dyDescent="0.2">
      <c r="A199" s="277">
        <v>110</v>
      </c>
      <c r="B199" s="275" t="s">
        <v>384</v>
      </c>
      <c r="C199" s="276" t="s">
        <v>385</v>
      </c>
      <c r="D199" s="276" t="s">
        <v>386</v>
      </c>
      <c r="E199" s="275" t="s">
        <v>114</v>
      </c>
      <c r="F199" s="275" t="s">
        <v>114</v>
      </c>
      <c r="G199" s="274">
        <v>91</v>
      </c>
      <c r="H199" s="273">
        <v>46</v>
      </c>
    </row>
    <row r="200" spans="1:8" x14ac:dyDescent="0.2">
      <c r="A200" s="277">
        <v>111</v>
      </c>
      <c r="B200" s="275" t="s">
        <v>384</v>
      </c>
      <c r="C200" s="276" t="s">
        <v>387</v>
      </c>
      <c r="D200" s="276" t="s">
        <v>1082</v>
      </c>
      <c r="E200" s="275" t="s">
        <v>114</v>
      </c>
      <c r="F200" s="275" t="s">
        <v>114</v>
      </c>
      <c r="G200" s="274">
        <v>135</v>
      </c>
      <c r="H200" s="273">
        <v>56</v>
      </c>
    </row>
    <row r="201" spans="1:8" x14ac:dyDescent="0.2">
      <c r="A201" s="277">
        <v>413</v>
      </c>
      <c r="B201" s="275" t="s">
        <v>384</v>
      </c>
      <c r="C201" s="276" t="s">
        <v>388</v>
      </c>
      <c r="D201" s="276" t="s">
        <v>389</v>
      </c>
      <c r="E201" s="275" t="s">
        <v>114</v>
      </c>
      <c r="F201" s="275" t="s">
        <v>114</v>
      </c>
      <c r="G201" s="274">
        <v>91</v>
      </c>
      <c r="H201" s="273">
        <v>51</v>
      </c>
    </row>
    <row r="202" spans="1:8" x14ac:dyDescent="0.2">
      <c r="A202" s="277">
        <v>115</v>
      </c>
      <c r="B202" s="275" t="s">
        <v>384</v>
      </c>
      <c r="C202" s="276" t="s">
        <v>390</v>
      </c>
      <c r="D202" s="276" t="s">
        <v>391</v>
      </c>
      <c r="E202" s="275" t="s">
        <v>200</v>
      </c>
      <c r="F202" s="275" t="s">
        <v>220</v>
      </c>
      <c r="G202" s="274">
        <v>148</v>
      </c>
      <c r="H202" s="273">
        <v>56</v>
      </c>
    </row>
    <row r="203" spans="1:8" x14ac:dyDescent="0.2">
      <c r="A203" s="277">
        <v>115</v>
      </c>
      <c r="B203" s="275" t="s">
        <v>384</v>
      </c>
      <c r="C203" s="276" t="s">
        <v>390</v>
      </c>
      <c r="D203" s="276" t="s">
        <v>391</v>
      </c>
      <c r="E203" s="275" t="s">
        <v>221</v>
      </c>
      <c r="F203" s="275" t="s">
        <v>210</v>
      </c>
      <c r="G203" s="274">
        <v>110</v>
      </c>
      <c r="H203" s="273">
        <v>56</v>
      </c>
    </row>
    <row r="204" spans="1:8" x14ac:dyDescent="0.2">
      <c r="A204" s="277">
        <v>115</v>
      </c>
      <c r="B204" s="275" t="s">
        <v>384</v>
      </c>
      <c r="C204" s="276" t="s">
        <v>390</v>
      </c>
      <c r="D204" s="276" t="s">
        <v>391</v>
      </c>
      <c r="E204" s="275" t="s">
        <v>211</v>
      </c>
      <c r="F204" s="275" t="s">
        <v>205</v>
      </c>
      <c r="G204" s="274">
        <v>148</v>
      </c>
      <c r="H204" s="273">
        <v>56</v>
      </c>
    </row>
    <row r="205" spans="1:8" x14ac:dyDescent="0.2">
      <c r="A205" s="277">
        <v>116</v>
      </c>
      <c r="B205" s="275" t="s">
        <v>384</v>
      </c>
      <c r="C205" s="276" t="s">
        <v>392</v>
      </c>
      <c r="D205" s="276" t="s">
        <v>393</v>
      </c>
      <c r="E205" s="275" t="s">
        <v>114</v>
      </c>
      <c r="F205" s="275" t="s">
        <v>114</v>
      </c>
      <c r="G205" s="274">
        <v>101</v>
      </c>
      <c r="H205" s="273">
        <v>56</v>
      </c>
    </row>
    <row r="206" spans="1:8" x14ac:dyDescent="0.2">
      <c r="A206" s="277">
        <v>117</v>
      </c>
      <c r="B206" s="275" t="s">
        <v>115</v>
      </c>
      <c r="C206" s="276" t="s">
        <v>394</v>
      </c>
      <c r="D206" s="276" t="s">
        <v>395</v>
      </c>
      <c r="E206" s="275" t="s">
        <v>114</v>
      </c>
      <c r="F206" s="275" t="s">
        <v>114</v>
      </c>
      <c r="G206" s="274">
        <v>88</v>
      </c>
      <c r="H206" s="273">
        <v>51</v>
      </c>
    </row>
    <row r="207" spans="1:8" x14ac:dyDescent="0.2">
      <c r="A207" s="277">
        <v>476</v>
      </c>
      <c r="B207" s="275" t="s">
        <v>115</v>
      </c>
      <c r="C207" s="276" t="s">
        <v>396</v>
      </c>
      <c r="D207" s="276" t="s">
        <v>396</v>
      </c>
      <c r="E207" s="275" t="s">
        <v>114</v>
      </c>
      <c r="F207" s="275" t="s">
        <v>114</v>
      </c>
      <c r="G207" s="274">
        <v>114</v>
      </c>
      <c r="H207" s="273">
        <v>51</v>
      </c>
    </row>
    <row r="208" spans="1:8" x14ac:dyDescent="0.2">
      <c r="A208" s="277">
        <v>118</v>
      </c>
      <c r="B208" s="275" t="s">
        <v>115</v>
      </c>
      <c r="C208" s="276" t="s">
        <v>397</v>
      </c>
      <c r="D208" s="276" t="s">
        <v>398</v>
      </c>
      <c r="E208" s="275" t="s">
        <v>114</v>
      </c>
      <c r="F208" s="275" t="s">
        <v>114</v>
      </c>
      <c r="G208" s="274">
        <v>97</v>
      </c>
      <c r="H208" s="273">
        <v>51</v>
      </c>
    </row>
    <row r="209" spans="1:8" x14ac:dyDescent="0.2">
      <c r="A209" s="277">
        <v>466</v>
      </c>
      <c r="B209" s="275" t="s">
        <v>190</v>
      </c>
      <c r="C209" s="276" t="s">
        <v>399</v>
      </c>
      <c r="D209" s="276" t="s">
        <v>400</v>
      </c>
      <c r="E209" s="275" t="s">
        <v>200</v>
      </c>
      <c r="F209" s="275" t="s">
        <v>253</v>
      </c>
      <c r="G209" s="274">
        <v>83</v>
      </c>
      <c r="H209" s="273">
        <v>61</v>
      </c>
    </row>
    <row r="210" spans="1:8" x14ac:dyDescent="0.2">
      <c r="A210" s="277">
        <v>466</v>
      </c>
      <c r="B210" s="275" t="s">
        <v>190</v>
      </c>
      <c r="C210" s="276" t="s">
        <v>399</v>
      </c>
      <c r="D210" s="276" t="s">
        <v>400</v>
      </c>
      <c r="E210" s="275" t="s">
        <v>254</v>
      </c>
      <c r="F210" s="275" t="s">
        <v>226</v>
      </c>
      <c r="G210" s="274">
        <v>101</v>
      </c>
      <c r="H210" s="273">
        <v>61</v>
      </c>
    </row>
    <row r="211" spans="1:8" x14ac:dyDescent="0.2">
      <c r="A211" s="277">
        <v>466</v>
      </c>
      <c r="B211" s="275" t="s">
        <v>190</v>
      </c>
      <c r="C211" s="276" t="s">
        <v>399</v>
      </c>
      <c r="D211" s="276" t="s">
        <v>400</v>
      </c>
      <c r="E211" s="275" t="s">
        <v>227</v>
      </c>
      <c r="F211" s="275" t="s">
        <v>205</v>
      </c>
      <c r="G211" s="274">
        <v>83</v>
      </c>
      <c r="H211" s="273">
        <v>61</v>
      </c>
    </row>
    <row r="212" spans="1:8" x14ac:dyDescent="0.2">
      <c r="A212" s="277">
        <v>120</v>
      </c>
      <c r="B212" s="275" t="s">
        <v>190</v>
      </c>
      <c r="C212" s="276" t="s">
        <v>401</v>
      </c>
      <c r="D212" s="276" t="s">
        <v>402</v>
      </c>
      <c r="E212" s="275" t="s">
        <v>200</v>
      </c>
      <c r="F212" s="275" t="s">
        <v>201</v>
      </c>
      <c r="G212" s="274">
        <v>85</v>
      </c>
      <c r="H212" s="273">
        <v>61</v>
      </c>
    </row>
    <row r="213" spans="1:8" x14ac:dyDescent="0.2">
      <c r="A213" s="277">
        <v>120</v>
      </c>
      <c r="B213" s="275" t="s">
        <v>190</v>
      </c>
      <c r="C213" s="276" t="s">
        <v>401</v>
      </c>
      <c r="D213" s="276" t="s">
        <v>402</v>
      </c>
      <c r="E213" s="275" t="s">
        <v>202</v>
      </c>
      <c r="F213" s="275" t="s">
        <v>226</v>
      </c>
      <c r="G213" s="274">
        <v>124</v>
      </c>
      <c r="H213" s="273">
        <v>61</v>
      </c>
    </row>
    <row r="214" spans="1:8" x14ac:dyDescent="0.2">
      <c r="A214" s="277">
        <v>120</v>
      </c>
      <c r="B214" s="275" t="s">
        <v>190</v>
      </c>
      <c r="C214" s="276" t="s">
        <v>401</v>
      </c>
      <c r="D214" s="276" t="s">
        <v>402</v>
      </c>
      <c r="E214" s="275" t="s">
        <v>227</v>
      </c>
      <c r="F214" s="275" t="s">
        <v>205</v>
      </c>
      <c r="G214" s="274">
        <v>85</v>
      </c>
      <c r="H214" s="273">
        <v>61</v>
      </c>
    </row>
    <row r="215" spans="1:8" x14ac:dyDescent="0.2">
      <c r="A215" s="277">
        <v>467</v>
      </c>
      <c r="B215" s="275" t="s">
        <v>190</v>
      </c>
      <c r="C215" s="276" t="s">
        <v>403</v>
      </c>
      <c r="D215" s="276" t="s">
        <v>404</v>
      </c>
      <c r="E215" s="275" t="s">
        <v>114</v>
      </c>
      <c r="F215" s="275" t="s">
        <v>114</v>
      </c>
      <c r="G215" s="274">
        <v>86</v>
      </c>
      <c r="H215" s="273">
        <v>46</v>
      </c>
    </row>
    <row r="216" spans="1:8" x14ac:dyDescent="0.2">
      <c r="A216" s="277">
        <v>122</v>
      </c>
      <c r="B216" s="275" t="s">
        <v>190</v>
      </c>
      <c r="C216" s="276" t="s">
        <v>405</v>
      </c>
      <c r="D216" s="276" t="s">
        <v>1081</v>
      </c>
      <c r="E216" s="275" t="s">
        <v>114</v>
      </c>
      <c r="F216" s="275" t="s">
        <v>114</v>
      </c>
      <c r="G216" s="274">
        <v>99</v>
      </c>
      <c r="H216" s="273">
        <v>71</v>
      </c>
    </row>
    <row r="217" spans="1:8" x14ac:dyDescent="0.2">
      <c r="A217" s="277">
        <v>422</v>
      </c>
      <c r="B217" s="275" t="s">
        <v>406</v>
      </c>
      <c r="C217" s="276" t="s">
        <v>407</v>
      </c>
      <c r="D217" s="276" t="s">
        <v>408</v>
      </c>
      <c r="E217" s="275" t="s">
        <v>114</v>
      </c>
      <c r="F217" s="275" t="s">
        <v>114</v>
      </c>
      <c r="G217" s="274">
        <v>90</v>
      </c>
      <c r="H217" s="273">
        <v>51</v>
      </c>
    </row>
    <row r="218" spans="1:8" x14ac:dyDescent="0.2">
      <c r="A218" s="277">
        <v>123</v>
      </c>
      <c r="B218" s="275" t="s">
        <v>406</v>
      </c>
      <c r="C218" s="276" t="s">
        <v>409</v>
      </c>
      <c r="D218" s="276" t="s">
        <v>1080</v>
      </c>
      <c r="E218" s="275" t="s">
        <v>200</v>
      </c>
      <c r="F218" s="275" t="s">
        <v>256</v>
      </c>
      <c r="G218" s="274">
        <v>194</v>
      </c>
      <c r="H218" s="273">
        <v>71</v>
      </c>
    </row>
    <row r="219" spans="1:8" x14ac:dyDescent="0.2">
      <c r="A219" s="277">
        <v>123</v>
      </c>
      <c r="B219" s="275" t="s">
        <v>406</v>
      </c>
      <c r="C219" s="276" t="s">
        <v>409</v>
      </c>
      <c r="D219" s="276" t="s">
        <v>1080</v>
      </c>
      <c r="E219" s="275" t="s">
        <v>257</v>
      </c>
      <c r="F219" s="275" t="s">
        <v>210</v>
      </c>
      <c r="G219" s="274">
        <v>132</v>
      </c>
      <c r="H219" s="273">
        <v>71</v>
      </c>
    </row>
    <row r="220" spans="1:8" x14ac:dyDescent="0.2">
      <c r="A220" s="277">
        <v>123</v>
      </c>
      <c r="B220" s="275" t="s">
        <v>406</v>
      </c>
      <c r="C220" s="276" t="s">
        <v>409</v>
      </c>
      <c r="D220" s="276" t="s">
        <v>1080</v>
      </c>
      <c r="E220" s="275" t="s">
        <v>211</v>
      </c>
      <c r="F220" s="275" t="s">
        <v>224</v>
      </c>
      <c r="G220" s="274">
        <v>159</v>
      </c>
      <c r="H220" s="273">
        <v>71</v>
      </c>
    </row>
    <row r="221" spans="1:8" x14ac:dyDescent="0.2">
      <c r="A221" s="277">
        <v>123</v>
      </c>
      <c r="B221" s="275" t="s">
        <v>406</v>
      </c>
      <c r="C221" s="276" t="s">
        <v>409</v>
      </c>
      <c r="D221" s="276" t="s">
        <v>1080</v>
      </c>
      <c r="E221" s="275" t="s">
        <v>225</v>
      </c>
      <c r="F221" s="275" t="s">
        <v>226</v>
      </c>
      <c r="G221" s="274">
        <v>192</v>
      </c>
      <c r="H221" s="273">
        <v>71</v>
      </c>
    </row>
    <row r="222" spans="1:8" x14ac:dyDescent="0.2">
      <c r="A222" s="277">
        <v>123</v>
      </c>
      <c r="B222" s="275" t="s">
        <v>406</v>
      </c>
      <c r="C222" s="276" t="s">
        <v>409</v>
      </c>
      <c r="D222" s="276" t="s">
        <v>1080</v>
      </c>
      <c r="E222" s="275" t="s">
        <v>227</v>
      </c>
      <c r="F222" s="275" t="s">
        <v>205</v>
      </c>
      <c r="G222" s="274">
        <v>194</v>
      </c>
      <c r="H222" s="273">
        <v>71</v>
      </c>
    </row>
    <row r="223" spans="1:8" ht="25.5" x14ac:dyDescent="0.2">
      <c r="A223" s="277">
        <v>462</v>
      </c>
      <c r="B223" s="275" t="s">
        <v>406</v>
      </c>
      <c r="C223" s="276" t="s">
        <v>412</v>
      </c>
      <c r="D223" s="276" t="s">
        <v>1079</v>
      </c>
      <c r="E223" s="275" t="s">
        <v>114</v>
      </c>
      <c r="F223" s="275" t="s">
        <v>114</v>
      </c>
      <c r="G223" s="274">
        <v>115</v>
      </c>
      <c r="H223" s="273">
        <v>56</v>
      </c>
    </row>
    <row r="224" spans="1:8" x14ac:dyDescent="0.2">
      <c r="A224" s="277">
        <v>124</v>
      </c>
      <c r="B224" s="275" t="s">
        <v>406</v>
      </c>
      <c r="C224" s="276" t="s">
        <v>410</v>
      </c>
      <c r="D224" s="276" t="s">
        <v>411</v>
      </c>
      <c r="E224" s="275" t="s">
        <v>114</v>
      </c>
      <c r="F224" s="275" t="s">
        <v>114</v>
      </c>
      <c r="G224" s="274">
        <v>103</v>
      </c>
      <c r="H224" s="273">
        <v>61</v>
      </c>
    </row>
    <row r="225" spans="1:8" x14ac:dyDescent="0.2">
      <c r="A225" s="277">
        <v>126</v>
      </c>
      <c r="B225" s="275" t="s">
        <v>406</v>
      </c>
      <c r="C225" s="276" t="s">
        <v>413</v>
      </c>
      <c r="D225" s="276" t="s">
        <v>414</v>
      </c>
      <c r="E225" s="275" t="s">
        <v>114</v>
      </c>
      <c r="F225" s="275" t="s">
        <v>114</v>
      </c>
      <c r="G225" s="274">
        <v>89</v>
      </c>
      <c r="H225" s="273">
        <v>56</v>
      </c>
    </row>
    <row r="226" spans="1:8" x14ac:dyDescent="0.2">
      <c r="A226" s="277">
        <v>127</v>
      </c>
      <c r="B226" s="275" t="s">
        <v>415</v>
      </c>
      <c r="C226" s="276" t="s">
        <v>416</v>
      </c>
      <c r="D226" s="276" t="s">
        <v>359</v>
      </c>
      <c r="E226" s="275" t="s">
        <v>114</v>
      </c>
      <c r="F226" s="275" t="s">
        <v>114</v>
      </c>
      <c r="G226" s="274">
        <v>104</v>
      </c>
      <c r="H226" s="273">
        <v>56</v>
      </c>
    </row>
    <row r="227" spans="1:8" x14ac:dyDescent="0.2">
      <c r="A227" s="277">
        <v>129</v>
      </c>
      <c r="B227" s="275" t="s">
        <v>415</v>
      </c>
      <c r="C227" s="276" t="s">
        <v>417</v>
      </c>
      <c r="D227" s="276" t="s">
        <v>418</v>
      </c>
      <c r="E227" s="275" t="s">
        <v>114</v>
      </c>
      <c r="F227" s="275" t="s">
        <v>114</v>
      </c>
      <c r="G227" s="274">
        <v>88</v>
      </c>
      <c r="H227" s="273">
        <v>56</v>
      </c>
    </row>
    <row r="228" spans="1:8" x14ac:dyDescent="0.2">
      <c r="A228" s="277">
        <v>414</v>
      </c>
      <c r="B228" s="275" t="s">
        <v>415</v>
      </c>
      <c r="C228" s="276" t="s">
        <v>419</v>
      </c>
      <c r="D228" s="276" t="s">
        <v>420</v>
      </c>
      <c r="E228" s="275" t="s">
        <v>114</v>
      </c>
      <c r="F228" s="275" t="s">
        <v>114</v>
      </c>
      <c r="G228" s="274">
        <v>96</v>
      </c>
      <c r="H228" s="273">
        <v>46</v>
      </c>
    </row>
    <row r="229" spans="1:8" x14ac:dyDescent="0.2">
      <c r="A229" s="277">
        <v>130</v>
      </c>
      <c r="B229" s="275" t="s">
        <v>415</v>
      </c>
      <c r="C229" s="276" t="s">
        <v>421</v>
      </c>
      <c r="D229" s="276" t="s">
        <v>1078</v>
      </c>
      <c r="E229" s="275" t="s">
        <v>114</v>
      </c>
      <c r="F229" s="275" t="s">
        <v>114</v>
      </c>
      <c r="G229" s="274">
        <v>98</v>
      </c>
      <c r="H229" s="273">
        <v>61</v>
      </c>
    </row>
    <row r="230" spans="1:8" x14ac:dyDescent="0.2">
      <c r="A230" s="277">
        <v>131</v>
      </c>
      <c r="B230" s="275" t="s">
        <v>415</v>
      </c>
      <c r="C230" s="276" t="s">
        <v>422</v>
      </c>
      <c r="D230" s="276" t="s">
        <v>423</v>
      </c>
      <c r="E230" s="275" t="s">
        <v>114</v>
      </c>
      <c r="F230" s="275" t="s">
        <v>114</v>
      </c>
      <c r="G230" s="274">
        <v>88</v>
      </c>
      <c r="H230" s="273">
        <v>51</v>
      </c>
    </row>
    <row r="231" spans="1:8" x14ac:dyDescent="0.2">
      <c r="A231" s="277">
        <v>134</v>
      </c>
      <c r="B231" s="275" t="s">
        <v>415</v>
      </c>
      <c r="C231" s="276" t="s">
        <v>424</v>
      </c>
      <c r="D231" s="276" t="s">
        <v>425</v>
      </c>
      <c r="E231" s="275" t="s">
        <v>114</v>
      </c>
      <c r="F231" s="275" t="s">
        <v>114</v>
      </c>
      <c r="G231" s="274">
        <v>90</v>
      </c>
      <c r="H231" s="273">
        <v>56</v>
      </c>
    </row>
    <row r="232" spans="1:8" x14ac:dyDescent="0.2">
      <c r="A232" s="277">
        <v>137</v>
      </c>
      <c r="B232" s="275" t="s">
        <v>426</v>
      </c>
      <c r="C232" s="276" t="s">
        <v>427</v>
      </c>
      <c r="D232" s="276" t="s">
        <v>428</v>
      </c>
      <c r="E232" s="275" t="s">
        <v>114</v>
      </c>
      <c r="F232" s="275" t="s">
        <v>114</v>
      </c>
      <c r="G232" s="274">
        <v>106</v>
      </c>
      <c r="H232" s="273">
        <v>61</v>
      </c>
    </row>
    <row r="233" spans="1:8" x14ac:dyDescent="0.2">
      <c r="A233" s="277">
        <v>138</v>
      </c>
      <c r="B233" s="275" t="s">
        <v>426</v>
      </c>
      <c r="C233" s="276" t="s">
        <v>429</v>
      </c>
      <c r="D233" s="276" t="s">
        <v>430</v>
      </c>
      <c r="E233" s="275" t="s">
        <v>114</v>
      </c>
      <c r="F233" s="275" t="s">
        <v>114</v>
      </c>
      <c r="G233" s="274">
        <v>93</v>
      </c>
      <c r="H233" s="273">
        <v>56</v>
      </c>
    </row>
    <row r="234" spans="1:8" x14ac:dyDescent="0.2">
      <c r="A234" s="277">
        <v>139</v>
      </c>
      <c r="B234" s="275" t="s">
        <v>431</v>
      </c>
      <c r="C234" s="276" t="s">
        <v>432</v>
      </c>
      <c r="D234" s="276" t="s">
        <v>432</v>
      </c>
      <c r="E234" s="275" t="s">
        <v>114</v>
      </c>
      <c r="F234" s="275" t="s">
        <v>114</v>
      </c>
      <c r="G234" s="274">
        <v>92</v>
      </c>
      <c r="H234" s="273">
        <v>51</v>
      </c>
    </row>
    <row r="235" spans="1:8" x14ac:dyDescent="0.2">
      <c r="A235" s="277">
        <v>436</v>
      </c>
      <c r="B235" s="275" t="s">
        <v>431</v>
      </c>
      <c r="C235" s="276" t="s">
        <v>433</v>
      </c>
      <c r="D235" s="276" t="s">
        <v>433</v>
      </c>
      <c r="E235" s="275" t="s">
        <v>114</v>
      </c>
      <c r="F235" s="275" t="s">
        <v>114</v>
      </c>
      <c r="G235" s="274">
        <v>132</v>
      </c>
      <c r="H235" s="273">
        <v>56</v>
      </c>
    </row>
    <row r="236" spans="1:8" x14ac:dyDescent="0.2">
      <c r="A236" s="277">
        <v>140</v>
      </c>
      <c r="B236" s="275" t="s">
        <v>431</v>
      </c>
      <c r="C236" s="276" t="s">
        <v>434</v>
      </c>
      <c r="D236" s="276" t="s">
        <v>435</v>
      </c>
      <c r="E236" s="275" t="s">
        <v>114</v>
      </c>
      <c r="F236" s="275" t="s">
        <v>114</v>
      </c>
      <c r="G236" s="274">
        <v>97</v>
      </c>
      <c r="H236" s="273">
        <v>61</v>
      </c>
    </row>
    <row r="237" spans="1:8" x14ac:dyDescent="0.2">
      <c r="A237" s="277">
        <v>141</v>
      </c>
      <c r="B237" s="275" t="s">
        <v>431</v>
      </c>
      <c r="C237" s="276" t="s">
        <v>436</v>
      </c>
      <c r="D237" s="276" t="s">
        <v>437</v>
      </c>
      <c r="E237" s="275" t="s">
        <v>200</v>
      </c>
      <c r="F237" s="275" t="s">
        <v>232</v>
      </c>
      <c r="G237" s="274">
        <v>106</v>
      </c>
      <c r="H237" s="273">
        <v>61</v>
      </c>
    </row>
    <row r="238" spans="1:8" x14ac:dyDescent="0.2">
      <c r="A238" s="277">
        <v>141</v>
      </c>
      <c r="B238" s="275" t="s">
        <v>431</v>
      </c>
      <c r="C238" s="276" t="s">
        <v>436</v>
      </c>
      <c r="D238" s="276" t="s">
        <v>437</v>
      </c>
      <c r="E238" s="275" t="s">
        <v>233</v>
      </c>
      <c r="F238" s="275" t="s">
        <v>201</v>
      </c>
      <c r="G238" s="274">
        <v>121</v>
      </c>
      <c r="H238" s="273">
        <v>61</v>
      </c>
    </row>
    <row r="239" spans="1:8" x14ac:dyDescent="0.2">
      <c r="A239" s="277">
        <v>141</v>
      </c>
      <c r="B239" s="275" t="s">
        <v>431</v>
      </c>
      <c r="C239" s="276" t="s">
        <v>436</v>
      </c>
      <c r="D239" s="276" t="s">
        <v>437</v>
      </c>
      <c r="E239" s="275" t="s">
        <v>202</v>
      </c>
      <c r="F239" s="275" t="s">
        <v>205</v>
      </c>
      <c r="G239" s="274">
        <v>106</v>
      </c>
      <c r="H239" s="273">
        <v>61</v>
      </c>
    </row>
    <row r="240" spans="1:8" ht="25.5" x14ac:dyDescent="0.2">
      <c r="A240" s="277">
        <v>478</v>
      </c>
      <c r="B240" s="275" t="s">
        <v>438</v>
      </c>
      <c r="C240" s="276" t="s">
        <v>439</v>
      </c>
      <c r="D240" s="276" t="s">
        <v>440</v>
      </c>
      <c r="E240" s="275" t="s">
        <v>114</v>
      </c>
      <c r="F240" s="275" t="s">
        <v>114</v>
      </c>
      <c r="G240" s="274">
        <v>86</v>
      </c>
      <c r="H240" s="273">
        <v>61</v>
      </c>
    </row>
    <row r="241" spans="1:8" x14ac:dyDescent="0.2">
      <c r="A241" s="277">
        <v>142</v>
      </c>
      <c r="B241" s="275" t="s">
        <v>438</v>
      </c>
      <c r="C241" s="276" t="s">
        <v>441</v>
      </c>
      <c r="D241" s="276" t="s">
        <v>442</v>
      </c>
      <c r="E241" s="275" t="s">
        <v>114</v>
      </c>
      <c r="F241" s="275" t="s">
        <v>114</v>
      </c>
      <c r="G241" s="274">
        <v>94</v>
      </c>
      <c r="H241" s="273">
        <v>56</v>
      </c>
    </row>
    <row r="242" spans="1:8" x14ac:dyDescent="0.2">
      <c r="A242" s="277">
        <v>438</v>
      </c>
      <c r="B242" s="275" t="s">
        <v>438</v>
      </c>
      <c r="C242" s="276" t="s">
        <v>443</v>
      </c>
      <c r="D242" s="276" t="s">
        <v>444</v>
      </c>
      <c r="E242" s="275" t="s">
        <v>114</v>
      </c>
      <c r="F242" s="275" t="s">
        <v>114</v>
      </c>
      <c r="G242" s="274">
        <v>90</v>
      </c>
      <c r="H242" s="273">
        <v>56</v>
      </c>
    </row>
    <row r="243" spans="1:8" ht="25.5" x14ac:dyDescent="0.2">
      <c r="A243" s="277">
        <v>144</v>
      </c>
      <c r="B243" s="275" t="s">
        <v>438</v>
      </c>
      <c r="C243" s="276" t="s">
        <v>445</v>
      </c>
      <c r="D243" s="276" t="s">
        <v>1077</v>
      </c>
      <c r="E243" s="275" t="s">
        <v>200</v>
      </c>
      <c r="F243" s="275" t="s">
        <v>208</v>
      </c>
      <c r="G243" s="274">
        <v>154</v>
      </c>
      <c r="H243" s="273">
        <v>71</v>
      </c>
    </row>
    <row r="244" spans="1:8" ht="25.5" x14ac:dyDescent="0.2">
      <c r="A244" s="277">
        <v>144</v>
      </c>
      <c r="B244" s="275" t="s">
        <v>438</v>
      </c>
      <c r="C244" s="276" t="s">
        <v>445</v>
      </c>
      <c r="D244" s="276" t="s">
        <v>1077</v>
      </c>
      <c r="E244" s="275" t="s">
        <v>209</v>
      </c>
      <c r="F244" s="275" t="s">
        <v>253</v>
      </c>
      <c r="G244" s="274">
        <v>151</v>
      </c>
      <c r="H244" s="273">
        <v>71</v>
      </c>
    </row>
    <row r="245" spans="1:8" ht="25.5" x14ac:dyDescent="0.2">
      <c r="A245" s="277">
        <v>144</v>
      </c>
      <c r="B245" s="275" t="s">
        <v>438</v>
      </c>
      <c r="C245" s="276" t="s">
        <v>445</v>
      </c>
      <c r="D245" s="276" t="s">
        <v>1077</v>
      </c>
      <c r="E245" s="275" t="s">
        <v>254</v>
      </c>
      <c r="F245" s="275" t="s">
        <v>205</v>
      </c>
      <c r="G245" s="274">
        <v>107</v>
      </c>
      <c r="H245" s="273">
        <v>71</v>
      </c>
    </row>
    <row r="246" spans="1:8" x14ac:dyDescent="0.2">
      <c r="A246" s="277">
        <v>147</v>
      </c>
      <c r="B246" s="275" t="s">
        <v>446</v>
      </c>
      <c r="C246" s="276" t="s">
        <v>447</v>
      </c>
      <c r="D246" s="276" t="s">
        <v>448</v>
      </c>
      <c r="E246" s="275" t="s">
        <v>114</v>
      </c>
      <c r="F246" s="275" t="s">
        <v>114</v>
      </c>
      <c r="G246" s="274">
        <v>101</v>
      </c>
      <c r="H246" s="273">
        <v>56</v>
      </c>
    </row>
    <row r="247" spans="1:8" x14ac:dyDescent="0.2">
      <c r="A247" s="277">
        <v>148</v>
      </c>
      <c r="B247" s="275" t="s">
        <v>446</v>
      </c>
      <c r="C247" s="276" t="s">
        <v>449</v>
      </c>
      <c r="D247" s="276" t="s">
        <v>450</v>
      </c>
      <c r="E247" s="275" t="s">
        <v>200</v>
      </c>
      <c r="F247" s="275" t="s">
        <v>220</v>
      </c>
      <c r="G247" s="274">
        <v>258</v>
      </c>
      <c r="H247" s="273">
        <v>71</v>
      </c>
    </row>
    <row r="248" spans="1:8" x14ac:dyDescent="0.2">
      <c r="A248" s="277">
        <v>148</v>
      </c>
      <c r="B248" s="275" t="s">
        <v>446</v>
      </c>
      <c r="C248" s="276" t="s">
        <v>449</v>
      </c>
      <c r="D248" s="276" t="s">
        <v>450</v>
      </c>
      <c r="E248" s="275" t="s">
        <v>221</v>
      </c>
      <c r="F248" s="275" t="s">
        <v>258</v>
      </c>
      <c r="G248" s="274">
        <v>179</v>
      </c>
      <c r="H248" s="273">
        <v>71</v>
      </c>
    </row>
    <row r="249" spans="1:8" x14ac:dyDescent="0.2">
      <c r="A249" s="277">
        <v>148</v>
      </c>
      <c r="B249" s="275" t="s">
        <v>446</v>
      </c>
      <c r="C249" s="276" t="s">
        <v>449</v>
      </c>
      <c r="D249" s="276" t="s">
        <v>450</v>
      </c>
      <c r="E249" s="275" t="s">
        <v>259</v>
      </c>
      <c r="F249" s="275" t="s">
        <v>253</v>
      </c>
      <c r="G249" s="274">
        <v>231</v>
      </c>
      <c r="H249" s="273">
        <v>71</v>
      </c>
    </row>
    <row r="250" spans="1:8" x14ac:dyDescent="0.2">
      <c r="A250" s="277">
        <v>148</v>
      </c>
      <c r="B250" s="275" t="s">
        <v>446</v>
      </c>
      <c r="C250" s="276" t="s">
        <v>449</v>
      </c>
      <c r="D250" s="276" t="s">
        <v>450</v>
      </c>
      <c r="E250" s="275" t="s">
        <v>254</v>
      </c>
      <c r="F250" s="275" t="s">
        <v>226</v>
      </c>
      <c r="G250" s="274">
        <v>210</v>
      </c>
      <c r="H250" s="273">
        <v>71</v>
      </c>
    </row>
    <row r="251" spans="1:8" x14ac:dyDescent="0.2">
      <c r="A251" s="277">
        <v>148</v>
      </c>
      <c r="B251" s="275" t="s">
        <v>446</v>
      </c>
      <c r="C251" s="276" t="s">
        <v>449</v>
      </c>
      <c r="D251" s="276" t="s">
        <v>450</v>
      </c>
      <c r="E251" s="275" t="s">
        <v>227</v>
      </c>
      <c r="F251" s="275" t="s">
        <v>205</v>
      </c>
      <c r="G251" s="274">
        <v>258</v>
      </c>
      <c r="H251" s="273">
        <v>71</v>
      </c>
    </row>
    <row r="252" spans="1:8" x14ac:dyDescent="0.2">
      <c r="A252" s="277">
        <v>149</v>
      </c>
      <c r="B252" s="275" t="s">
        <v>446</v>
      </c>
      <c r="C252" s="276" t="s">
        <v>451</v>
      </c>
      <c r="D252" s="276" t="s">
        <v>452</v>
      </c>
      <c r="E252" s="275" t="s">
        <v>114</v>
      </c>
      <c r="F252" s="275" t="s">
        <v>114</v>
      </c>
      <c r="G252" s="274">
        <v>127</v>
      </c>
      <c r="H252" s="273">
        <v>71</v>
      </c>
    </row>
    <row r="253" spans="1:8" x14ac:dyDescent="0.2">
      <c r="A253" s="277">
        <v>150</v>
      </c>
      <c r="B253" s="275" t="s">
        <v>446</v>
      </c>
      <c r="C253" s="276" t="s">
        <v>453</v>
      </c>
      <c r="D253" s="276" t="s">
        <v>454</v>
      </c>
      <c r="E253" s="275" t="s">
        <v>200</v>
      </c>
      <c r="F253" s="275" t="s">
        <v>253</v>
      </c>
      <c r="G253" s="274">
        <v>110</v>
      </c>
      <c r="H253" s="273">
        <v>51</v>
      </c>
    </row>
    <row r="254" spans="1:8" x14ac:dyDescent="0.2">
      <c r="A254" s="277">
        <v>150</v>
      </c>
      <c r="B254" s="275" t="s">
        <v>446</v>
      </c>
      <c r="C254" s="276" t="s">
        <v>453</v>
      </c>
      <c r="D254" s="276" t="s">
        <v>454</v>
      </c>
      <c r="E254" s="275" t="s">
        <v>254</v>
      </c>
      <c r="F254" s="275" t="s">
        <v>226</v>
      </c>
      <c r="G254" s="274">
        <v>184</v>
      </c>
      <c r="H254" s="273">
        <v>51</v>
      </c>
    </row>
    <row r="255" spans="1:8" x14ac:dyDescent="0.2">
      <c r="A255" s="277">
        <v>150</v>
      </c>
      <c r="B255" s="275" t="s">
        <v>446</v>
      </c>
      <c r="C255" s="276" t="s">
        <v>453</v>
      </c>
      <c r="D255" s="276" t="s">
        <v>454</v>
      </c>
      <c r="E255" s="275" t="s">
        <v>227</v>
      </c>
      <c r="F255" s="275" t="s">
        <v>205</v>
      </c>
      <c r="G255" s="274">
        <v>110</v>
      </c>
      <c r="H255" s="273">
        <v>51</v>
      </c>
    </row>
    <row r="256" spans="1:8" x14ac:dyDescent="0.2">
      <c r="A256" s="277">
        <v>151</v>
      </c>
      <c r="B256" s="275" t="s">
        <v>446</v>
      </c>
      <c r="C256" s="276" t="s">
        <v>455</v>
      </c>
      <c r="D256" s="276" t="s">
        <v>456</v>
      </c>
      <c r="E256" s="275" t="s">
        <v>200</v>
      </c>
      <c r="F256" s="275" t="s">
        <v>253</v>
      </c>
      <c r="G256" s="274">
        <v>97</v>
      </c>
      <c r="H256" s="273">
        <v>56</v>
      </c>
    </row>
    <row r="257" spans="1:8" x14ac:dyDescent="0.2">
      <c r="A257" s="277">
        <v>151</v>
      </c>
      <c r="B257" s="275" t="s">
        <v>446</v>
      </c>
      <c r="C257" s="276" t="s">
        <v>455</v>
      </c>
      <c r="D257" s="276" t="s">
        <v>456</v>
      </c>
      <c r="E257" s="275" t="s">
        <v>254</v>
      </c>
      <c r="F257" s="275" t="s">
        <v>226</v>
      </c>
      <c r="G257" s="274">
        <v>157</v>
      </c>
      <c r="H257" s="273">
        <v>56</v>
      </c>
    </row>
    <row r="258" spans="1:8" x14ac:dyDescent="0.2">
      <c r="A258" s="277">
        <v>151</v>
      </c>
      <c r="B258" s="275" t="s">
        <v>446</v>
      </c>
      <c r="C258" s="276" t="s">
        <v>455</v>
      </c>
      <c r="D258" s="276" t="s">
        <v>456</v>
      </c>
      <c r="E258" s="275" t="s">
        <v>227</v>
      </c>
      <c r="F258" s="275" t="s">
        <v>205</v>
      </c>
      <c r="G258" s="274">
        <v>97</v>
      </c>
      <c r="H258" s="273">
        <v>56</v>
      </c>
    </row>
    <row r="259" spans="1:8" x14ac:dyDescent="0.2">
      <c r="A259" s="277">
        <v>152</v>
      </c>
      <c r="B259" s="275" t="s">
        <v>446</v>
      </c>
      <c r="C259" s="276" t="s">
        <v>457</v>
      </c>
      <c r="D259" s="276" t="s">
        <v>458</v>
      </c>
      <c r="E259" s="275" t="s">
        <v>200</v>
      </c>
      <c r="F259" s="275" t="s">
        <v>253</v>
      </c>
      <c r="G259" s="274">
        <v>124</v>
      </c>
      <c r="H259" s="273">
        <v>71</v>
      </c>
    </row>
    <row r="260" spans="1:8" x14ac:dyDescent="0.2">
      <c r="A260" s="277">
        <v>152</v>
      </c>
      <c r="B260" s="275" t="s">
        <v>446</v>
      </c>
      <c r="C260" s="276" t="s">
        <v>457</v>
      </c>
      <c r="D260" s="276" t="s">
        <v>458</v>
      </c>
      <c r="E260" s="275" t="s">
        <v>254</v>
      </c>
      <c r="F260" s="275" t="s">
        <v>226</v>
      </c>
      <c r="G260" s="274">
        <v>265</v>
      </c>
      <c r="H260" s="273">
        <v>71</v>
      </c>
    </row>
    <row r="261" spans="1:8" x14ac:dyDescent="0.2">
      <c r="A261" s="277">
        <v>152</v>
      </c>
      <c r="B261" s="275" t="s">
        <v>446</v>
      </c>
      <c r="C261" s="276" t="s">
        <v>457</v>
      </c>
      <c r="D261" s="276" t="s">
        <v>458</v>
      </c>
      <c r="E261" s="275" t="s">
        <v>227</v>
      </c>
      <c r="F261" s="275" t="s">
        <v>205</v>
      </c>
      <c r="G261" s="274">
        <v>124</v>
      </c>
      <c r="H261" s="273">
        <v>71</v>
      </c>
    </row>
    <row r="262" spans="1:8" x14ac:dyDescent="0.2">
      <c r="A262" s="277">
        <v>153</v>
      </c>
      <c r="B262" s="275" t="s">
        <v>446</v>
      </c>
      <c r="C262" s="276" t="s">
        <v>459</v>
      </c>
      <c r="D262" s="276" t="s">
        <v>459</v>
      </c>
      <c r="E262" s="275" t="s">
        <v>200</v>
      </c>
      <c r="F262" s="275" t="s">
        <v>201</v>
      </c>
      <c r="G262" s="274">
        <v>137</v>
      </c>
      <c r="H262" s="273">
        <v>61</v>
      </c>
    </row>
    <row r="263" spans="1:8" x14ac:dyDescent="0.2">
      <c r="A263" s="277">
        <v>153</v>
      </c>
      <c r="B263" s="275" t="s">
        <v>446</v>
      </c>
      <c r="C263" s="276" t="s">
        <v>459</v>
      </c>
      <c r="D263" s="276" t="s">
        <v>459</v>
      </c>
      <c r="E263" s="275" t="s">
        <v>202</v>
      </c>
      <c r="F263" s="275" t="s">
        <v>205</v>
      </c>
      <c r="G263" s="274">
        <v>289</v>
      </c>
      <c r="H263" s="273">
        <v>61</v>
      </c>
    </row>
    <row r="264" spans="1:8" x14ac:dyDescent="0.2">
      <c r="A264" s="277">
        <v>154</v>
      </c>
      <c r="B264" s="275" t="s">
        <v>446</v>
      </c>
      <c r="C264" s="276" t="s">
        <v>460</v>
      </c>
      <c r="D264" s="276" t="s">
        <v>461</v>
      </c>
      <c r="E264" s="275" t="s">
        <v>114</v>
      </c>
      <c r="F264" s="275" t="s">
        <v>114</v>
      </c>
      <c r="G264" s="274">
        <v>106</v>
      </c>
      <c r="H264" s="273">
        <v>56</v>
      </c>
    </row>
    <row r="265" spans="1:8" x14ac:dyDescent="0.2">
      <c r="A265" s="277">
        <v>155</v>
      </c>
      <c r="B265" s="275" t="s">
        <v>446</v>
      </c>
      <c r="C265" s="276" t="s">
        <v>462</v>
      </c>
      <c r="D265" s="276" t="s">
        <v>463</v>
      </c>
      <c r="E265" s="275" t="s">
        <v>114</v>
      </c>
      <c r="F265" s="275" t="s">
        <v>114</v>
      </c>
      <c r="G265" s="274">
        <v>122</v>
      </c>
      <c r="H265" s="273">
        <v>61</v>
      </c>
    </row>
    <row r="266" spans="1:8" x14ac:dyDescent="0.2">
      <c r="A266" s="277">
        <v>156</v>
      </c>
      <c r="B266" s="275" t="s">
        <v>446</v>
      </c>
      <c r="C266" s="276" t="s">
        <v>464</v>
      </c>
      <c r="D266" s="276" t="s">
        <v>465</v>
      </c>
      <c r="E266" s="275" t="s">
        <v>114</v>
      </c>
      <c r="F266" s="275" t="s">
        <v>114</v>
      </c>
      <c r="G266" s="274">
        <v>99</v>
      </c>
      <c r="H266" s="273">
        <v>56</v>
      </c>
    </row>
    <row r="267" spans="1:8" x14ac:dyDescent="0.2">
      <c r="A267" s="277">
        <v>157</v>
      </c>
      <c r="B267" s="275" t="s">
        <v>446</v>
      </c>
      <c r="C267" s="276" t="s">
        <v>466</v>
      </c>
      <c r="D267" s="276" t="s">
        <v>467</v>
      </c>
      <c r="E267" s="275" t="s">
        <v>114</v>
      </c>
      <c r="F267" s="275" t="s">
        <v>114</v>
      </c>
      <c r="G267" s="274">
        <v>133</v>
      </c>
      <c r="H267" s="273">
        <v>51</v>
      </c>
    </row>
    <row r="268" spans="1:8" x14ac:dyDescent="0.2">
      <c r="A268" s="277">
        <v>158</v>
      </c>
      <c r="B268" s="275" t="s">
        <v>446</v>
      </c>
      <c r="C268" s="276" t="s">
        <v>468</v>
      </c>
      <c r="D268" s="276" t="s">
        <v>469</v>
      </c>
      <c r="E268" s="275" t="s">
        <v>114</v>
      </c>
      <c r="F268" s="275" t="s">
        <v>114</v>
      </c>
      <c r="G268" s="274">
        <v>104</v>
      </c>
      <c r="H268" s="273">
        <v>51</v>
      </c>
    </row>
    <row r="269" spans="1:8" x14ac:dyDescent="0.2">
      <c r="A269" s="277">
        <v>160</v>
      </c>
      <c r="B269" s="275" t="s">
        <v>446</v>
      </c>
      <c r="C269" s="276" t="s">
        <v>470</v>
      </c>
      <c r="D269" s="276" t="s">
        <v>470</v>
      </c>
      <c r="E269" s="275" t="s">
        <v>114</v>
      </c>
      <c r="F269" s="275" t="s">
        <v>114</v>
      </c>
      <c r="G269" s="274">
        <v>106</v>
      </c>
      <c r="H269" s="273">
        <v>61</v>
      </c>
    </row>
    <row r="270" spans="1:8" x14ac:dyDescent="0.2">
      <c r="A270" s="277">
        <v>161</v>
      </c>
      <c r="B270" s="275" t="s">
        <v>471</v>
      </c>
      <c r="C270" s="276" t="s">
        <v>472</v>
      </c>
      <c r="D270" s="276" t="s">
        <v>473</v>
      </c>
      <c r="E270" s="275" t="s">
        <v>114</v>
      </c>
      <c r="F270" s="275" t="s">
        <v>114</v>
      </c>
      <c r="G270" s="274">
        <v>94</v>
      </c>
      <c r="H270" s="273">
        <v>56</v>
      </c>
    </row>
    <row r="271" spans="1:8" x14ac:dyDescent="0.2">
      <c r="A271" s="277">
        <v>162</v>
      </c>
      <c r="B271" s="275" t="s">
        <v>471</v>
      </c>
      <c r="C271" s="276" t="s">
        <v>474</v>
      </c>
      <c r="D271" s="276" t="s">
        <v>475</v>
      </c>
      <c r="E271" s="275" t="s">
        <v>200</v>
      </c>
      <c r="F271" s="275" t="s">
        <v>220</v>
      </c>
      <c r="G271" s="274">
        <v>121</v>
      </c>
      <c r="H271" s="273">
        <v>61</v>
      </c>
    </row>
    <row r="272" spans="1:8" x14ac:dyDescent="0.2">
      <c r="A272" s="277">
        <v>162</v>
      </c>
      <c r="B272" s="275" t="s">
        <v>471</v>
      </c>
      <c r="C272" s="276" t="s">
        <v>474</v>
      </c>
      <c r="D272" s="276" t="s">
        <v>475</v>
      </c>
      <c r="E272" s="275" t="s">
        <v>221</v>
      </c>
      <c r="F272" s="275" t="s">
        <v>224</v>
      </c>
      <c r="G272" s="274">
        <v>100</v>
      </c>
      <c r="H272" s="273">
        <v>61</v>
      </c>
    </row>
    <row r="273" spans="1:8" x14ac:dyDescent="0.2">
      <c r="A273" s="277">
        <v>162</v>
      </c>
      <c r="B273" s="275" t="s">
        <v>471</v>
      </c>
      <c r="C273" s="276" t="s">
        <v>474</v>
      </c>
      <c r="D273" s="276" t="s">
        <v>475</v>
      </c>
      <c r="E273" s="275" t="s">
        <v>225</v>
      </c>
      <c r="F273" s="275" t="s">
        <v>205</v>
      </c>
      <c r="G273" s="274">
        <v>121</v>
      </c>
      <c r="H273" s="273">
        <v>61</v>
      </c>
    </row>
    <row r="274" spans="1:8" x14ac:dyDescent="0.2">
      <c r="A274" s="277">
        <v>429</v>
      </c>
      <c r="B274" s="275" t="s">
        <v>471</v>
      </c>
      <c r="C274" s="276" t="s">
        <v>477</v>
      </c>
      <c r="D274" s="276" t="s">
        <v>478</v>
      </c>
      <c r="E274" s="275" t="s">
        <v>114</v>
      </c>
      <c r="F274" s="275" t="s">
        <v>114</v>
      </c>
      <c r="G274" s="274">
        <v>98</v>
      </c>
      <c r="H274" s="273">
        <v>61</v>
      </c>
    </row>
    <row r="275" spans="1:8" x14ac:dyDescent="0.2">
      <c r="A275" s="277">
        <v>163</v>
      </c>
      <c r="B275" s="275" t="s">
        <v>471</v>
      </c>
      <c r="C275" s="276" t="s">
        <v>476</v>
      </c>
      <c r="D275" s="276" t="s">
        <v>476</v>
      </c>
      <c r="E275" s="275" t="s">
        <v>200</v>
      </c>
      <c r="F275" s="275" t="s">
        <v>256</v>
      </c>
      <c r="G275" s="274">
        <v>153</v>
      </c>
      <c r="H275" s="273">
        <v>71</v>
      </c>
    </row>
    <row r="276" spans="1:8" x14ac:dyDescent="0.2">
      <c r="A276" s="277">
        <v>163</v>
      </c>
      <c r="B276" s="275" t="s">
        <v>471</v>
      </c>
      <c r="C276" s="276" t="s">
        <v>476</v>
      </c>
      <c r="D276" s="276" t="s">
        <v>476</v>
      </c>
      <c r="E276" s="275" t="s">
        <v>257</v>
      </c>
      <c r="F276" s="275" t="s">
        <v>210</v>
      </c>
      <c r="G276" s="274">
        <v>118</v>
      </c>
      <c r="H276" s="273">
        <v>71</v>
      </c>
    </row>
    <row r="277" spans="1:8" x14ac:dyDescent="0.2">
      <c r="A277" s="277">
        <v>163</v>
      </c>
      <c r="B277" s="275" t="s">
        <v>471</v>
      </c>
      <c r="C277" s="276" t="s">
        <v>476</v>
      </c>
      <c r="D277" s="276" t="s">
        <v>476</v>
      </c>
      <c r="E277" s="275" t="s">
        <v>211</v>
      </c>
      <c r="F277" s="275" t="s">
        <v>226</v>
      </c>
      <c r="G277" s="274">
        <v>150</v>
      </c>
      <c r="H277" s="273">
        <v>71</v>
      </c>
    </row>
    <row r="278" spans="1:8" x14ac:dyDescent="0.2">
      <c r="A278" s="277">
        <v>163</v>
      </c>
      <c r="B278" s="275" t="s">
        <v>471</v>
      </c>
      <c r="C278" s="276" t="s">
        <v>476</v>
      </c>
      <c r="D278" s="276" t="s">
        <v>476</v>
      </c>
      <c r="E278" s="275" t="s">
        <v>227</v>
      </c>
      <c r="F278" s="275" t="s">
        <v>205</v>
      </c>
      <c r="G278" s="274">
        <v>153</v>
      </c>
      <c r="H278" s="273">
        <v>71</v>
      </c>
    </row>
    <row r="279" spans="1:8" x14ac:dyDescent="0.2">
      <c r="A279" s="277">
        <v>164</v>
      </c>
      <c r="B279" s="275" t="s">
        <v>471</v>
      </c>
      <c r="C279" s="276" t="s">
        <v>479</v>
      </c>
      <c r="D279" s="276" t="s">
        <v>1076</v>
      </c>
      <c r="E279" s="275" t="s">
        <v>200</v>
      </c>
      <c r="F279" s="275" t="s">
        <v>201</v>
      </c>
      <c r="G279" s="274">
        <v>124</v>
      </c>
      <c r="H279" s="273">
        <v>61</v>
      </c>
    </row>
    <row r="280" spans="1:8" x14ac:dyDescent="0.2">
      <c r="A280" s="277">
        <v>164</v>
      </c>
      <c r="B280" s="275" t="s">
        <v>471</v>
      </c>
      <c r="C280" s="276" t="s">
        <v>479</v>
      </c>
      <c r="D280" s="276" t="s">
        <v>1076</v>
      </c>
      <c r="E280" s="275" t="s">
        <v>202</v>
      </c>
      <c r="F280" s="275" t="s">
        <v>226</v>
      </c>
      <c r="G280" s="274">
        <v>170</v>
      </c>
      <c r="H280" s="273">
        <v>61</v>
      </c>
    </row>
    <row r="281" spans="1:8" x14ac:dyDescent="0.2">
      <c r="A281" s="277">
        <v>164</v>
      </c>
      <c r="B281" s="275" t="s">
        <v>471</v>
      </c>
      <c r="C281" s="276" t="s">
        <v>479</v>
      </c>
      <c r="D281" s="276" t="s">
        <v>1076</v>
      </c>
      <c r="E281" s="275" t="s">
        <v>227</v>
      </c>
      <c r="F281" s="275" t="s">
        <v>205</v>
      </c>
      <c r="G281" s="274">
        <v>124</v>
      </c>
      <c r="H281" s="273">
        <v>61</v>
      </c>
    </row>
    <row r="282" spans="1:8" x14ac:dyDescent="0.2">
      <c r="A282" s="277">
        <v>473</v>
      </c>
      <c r="B282" s="275" t="s">
        <v>471</v>
      </c>
      <c r="C282" s="276" t="s">
        <v>480</v>
      </c>
      <c r="D282" s="276" t="s">
        <v>481</v>
      </c>
      <c r="E282" s="275" t="s">
        <v>200</v>
      </c>
      <c r="F282" s="275" t="s">
        <v>220</v>
      </c>
      <c r="G282" s="274">
        <v>121</v>
      </c>
      <c r="H282" s="273">
        <v>51</v>
      </c>
    </row>
    <row r="283" spans="1:8" x14ac:dyDescent="0.2">
      <c r="A283" s="277">
        <v>473</v>
      </c>
      <c r="B283" s="275" t="s">
        <v>471</v>
      </c>
      <c r="C283" s="276" t="s">
        <v>480</v>
      </c>
      <c r="D283" s="276" t="s">
        <v>481</v>
      </c>
      <c r="E283" s="275" t="s">
        <v>221</v>
      </c>
      <c r="F283" s="275" t="s">
        <v>232</v>
      </c>
      <c r="G283" s="274">
        <v>105</v>
      </c>
      <c r="H283" s="273">
        <v>51</v>
      </c>
    </row>
    <row r="284" spans="1:8" x14ac:dyDescent="0.2">
      <c r="A284" s="277">
        <v>473</v>
      </c>
      <c r="B284" s="275" t="s">
        <v>471</v>
      </c>
      <c r="C284" s="276" t="s">
        <v>480</v>
      </c>
      <c r="D284" s="276" t="s">
        <v>481</v>
      </c>
      <c r="E284" s="275" t="s">
        <v>233</v>
      </c>
      <c r="F284" s="275" t="s">
        <v>205</v>
      </c>
      <c r="G284" s="274">
        <v>121</v>
      </c>
      <c r="H284" s="273">
        <v>51</v>
      </c>
    </row>
    <row r="285" spans="1:8" x14ac:dyDescent="0.2">
      <c r="A285" s="277">
        <v>165</v>
      </c>
      <c r="B285" s="275" t="s">
        <v>471</v>
      </c>
      <c r="C285" s="276" t="s">
        <v>482</v>
      </c>
      <c r="D285" s="276" t="s">
        <v>483</v>
      </c>
      <c r="E285" s="275" t="s">
        <v>114</v>
      </c>
      <c r="F285" s="275" t="s">
        <v>114</v>
      </c>
      <c r="G285" s="274">
        <v>102</v>
      </c>
      <c r="H285" s="273">
        <v>61</v>
      </c>
    </row>
    <row r="286" spans="1:8" x14ac:dyDescent="0.2">
      <c r="A286" s="277">
        <v>166</v>
      </c>
      <c r="B286" s="275" t="s">
        <v>471</v>
      </c>
      <c r="C286" s="276" t="s">
        <v>484</v>
      </c>
      <c r="D286" s="276" t="s">
        <v>484</v>
      </c>
      <c r="E286" s="275" t="s">
        <v>114</v>
      </c>
      <c r="F286" s="275" t="s">
        <v>114</v>
      </c>
      <c r="G286" s="274">
        <v>99</v>
      </c>
      <c r="H286" s="273">
        <v>56</v>
      </c>
    </row>
    <row r="287" spans="1:8" ht="25.5" x14ac:dyDescent="0.2">
      <c r="A287" s="277">
        <v>169</v>
      </c>
      <c r="B287" s="275" t="s">
        <v>471</v>
      </c>
      <c r="C287" s="276" t="s">
        <v>485</v>
      </c>
      <c r="D287" s="276" t="s">
        <v>1075</v>
      </c>
      <c r="E287" s="275" t="s">
        <v>114</v>
      </c>
      <c r="F287" s="275" t="s">
        <v>114</v>
      </c>
      <c r="G287" s="274">
        <v>94</v>
      </c>
      <c r="H287" s="273">
        <v>61</v>
      </c>
    </row>
    <row r="288" spans="1:8" x14ac:dyDescent="0.2">
      <c r="A288" s="277">
        <v>170</v>
      </c>
      <c r="B288" s="275" t="s">
        <v>471</v>
      </c>
      <c r="C288" s="276" t="s">
        <v>486</v>
      </c>
      <c r="D288" s="276" t="s">
        <v>470</v>
      </c>
      <c r="E288" s="275" t="s">
        <v>200</v>
      </c>
      <c r="F288" s="275" t="s">
        <v>201</v>
      </c>
      <c r="G288" s="274">
        <v>85</v>
      </c>
      <c r="H288" s="273">
        <v>71</v>
      </c>
    </row>
    <row r="289" spans="1:8" x14ac:dyDescent="0.2">
      <c r="A289" s="277">
        <v>170</v>
      </c>
      <c r="B289" s="275" t="s">
        <v>471</v>
      </c>
      <c r="C289" s="276" t="s">
        <v>486</v>
      </c>
      <c r="D289" s="276" t="s">
        <v>470</v>
      </c>
      <c r="E289" s="275" t="s">
        <v>202</v>
      </c>
      <c r="F289" s="275" t="s">
        <v>226</v>
      </c>
      <c r="G289" s="274">
        <v>193</v>
      </c>
      <c r="H289" s="273">
        <v>71</v>
      </c>
    </row>
    <row r="290" spans="1:8" x14ac:dyDescent="0.2">
      <c r="A290" s="277">
        <v>170</v>
      </c>
      <c r="B290" s="275" t="s">
        <v>471</v>
      </c>
      <c r="C290" s="276" t="s">
        <v>486</v>
      </c>
      <c r="D290" s="276" t="s">
        <v>470</v>
      </c>
      <c r="E290" s="275" t="s">
        <v>227</v>
      </c>
      <c r="F290" s="275" t="s">
        <v>205</v>
      </c>
      <c r="G290" s="274">
        <v>85</v>
      </c>
      <c r="H290" s="273">
        <v>71</v>
      </c>
    </row>
    <row r="291" spans="1:8" x14ac:dyDescent="0.2">
      <c r="A291" s="277">
        <v>171</v>
      </c>
      <c r="B291" s="275" t="s">
        <v>487</v>
      </c>
      <c r="C291" s="276" t="s">
        <v>488</v>
      </c>
      <c r="D291" s="276" t="s">
        <v>489</v>
      </c>
      <c r="E291" s="275" t="s">
        <v>200</v>
      </c>
      <c r="F291" s="275" t="s">
        <v>220</v>
      </c>
      <c r="G291" s="274">
        <v>124</v>
      </c>
      <c r="H291" s="273">
        <v>61</v>
      </c>
    </row>
    <row r="292" spans="1:8" x14ac:dyDescent="0.2">
      <c r="A292" s="277">
        <v>171</v>
      </c>
      <c r="B292" s="275" t="s">
        <v>487</v>
      </c>
      <c r="C292" s="276" t="s">
        <v>488</v>
      </c>
      <c r="D292" s="276" t="s">
        <v>489</v>
      </c>
      <c r="E292" s="275" t="s">
        <v>221</v>
      </c>
      <c r="F292" s="275" t="s">
        <v>258</v>
      </c>
      <c r="G292" s="274">
        <v>83</v>
      </c>
      <c r="H292" s="273">
        <v>61</v>
      </c>
    </row>
    <row r="293" spans="1:8" x14ac:dyDescent="0.2">
      <c r="A293" s="277">
        <v>171</v>
      </c>
      <c r="B293" s="275" t="s">
        <v>487</v>
      </c>
      <c r="C293" s="276" t="s">
        <v>488</v>
      </c>
      <c r="D293" s="276" t="s">
        <v>489</v>
      </c>
      <c r="E293" s="275" t="s">
        <v>259</v>
      </c>
      <c r="F293" s="275" t="s">
        <v>253</v>
      </c>
      <c r="G293" s="274">
        <v>107</v>
      </c>
      <c r="H293" s="273">
        <v>61</v>
      </c>
    </row>
    <row r="294" spans="1:8" x14ac:dyDescent="0.2">
      <c r="A294" s="277">
        <v>171</v>
      </c>
      <c r="B294" s="275" t="s">
        <v>487</v>
      </c>
      <c r="C294" s="276" t="s">
        <v>488</v>
      </c>
      <c r="D294" s="276" t="s">
        <v>489</v>
      </c>
      <c r="E294" s="275" t="s">
        <v>254</v>
      </c>
      <c r="F294" s="275" t="s">
        <v>226</v>
      </c>
      <c r="G294" s="274">
        <v>168</v>
      </c>
      <c r="H294" s="273">
        <v>61</v>
      </c>
    </row>
    <row r="295" spans="1:8" x14ac:dyDescent="0.2">
      <c r="A295" s="277">
        <v>171</v>
      </c>
      <c r="B295" s="275" t="s">
        <v>487</v>
      </c>
      <c r="C295" s="276" t="s">
        <v>488</v>
      </c>
      <c r="D295" s="276" t="s">
        <v>489</v>
      </c>
      <c r="E295" s="275" t="s">
        <v>227</v>
      </c>
      <c r="F295" s="275" t="s">
        <v>205</v>
      </c>
      <c r="G295" s="274">
        <v>124</v>
      </c>
      <c r="H295" s="273">
        <v>61</v>
      </c>
    </row>
    <row r="296" spans="1:8" x14ac:dyDescent="0.2">
      <c r="A296" s="277">
        <v>172</v>
      </c>
      <c r="B296" s="275" t="s">
        <v>487</v>
      </c>
      <c r="C296" s="276" t="s">
        <v>490</v>
      </c>
      <c r="D296" s="276" t="s">
        <v>491</v>
      </c>
      <c r="E296" s="275" t="s">
        <v>200</v>
      </c>
      <c r="F296" s="275" t="s">
        <v>256</v>
      </c>
      <c r="G296" s="274">
        <v>96</v>
      </c>
      <c r="H296" s="273">
        <v>56</v>
      </c>
    </row>
    <row r="297" spans="1:8" x14ac:dyDescent="0.2">
      <c r="A297" s="277">
        <v>172</v>
      </c>
      <c r="B297" s="275" t="s">
        <v>487</v>
      </c>
      <c r="C297" s="276" t="s">
        <v>490</v>
      </c>
      <c r="D297" s="276" t="s">
        <v>491</v>
      </c>
      <c r="E297" s="275" t="s">
        <v>257</v>
      </c>
      <c r="F297" s="275" t="s">
        <v>258</v>
      </c>
      <c r="G297" s="274">
        <v>83</v>
      </c>
      <c r="H297" s="273">
        <v>56</v>
      </c>
    </row>
    <row r="298" spans="1:8" x14ac:dyDescent="0.2">
      <c r="A298" s="277">
        <v>172</v>
      </c>
      <c r="B298" s="275" t="s">
        <v>487</v>
      </c>
      <c r="C298" s="276" t="s">
        <v>490</v>
      </c>
      <c r="D298" s="276" t="s">
        <v>491</v>
      </c>
      <c r="E298" s="275" t="s">
        <v>259</v>
      </c>
      <c r="F298" s="275" t="s">
        <v>253</v>
      </c>
      <c r="G298" s="274">
        <v>89</v>
      </c>
      <c r="H298" s="273">
        <v>56</v>
      </c>
    </row>
    <row r="299" spans="1:8" x14ac:dyDescent="0.2">
      <c r="A299" s="277">
        <v>172</v>
      </c>
      <c r="B299" s="275" t="s">
        <v>487</v>
      </c>
      <c r="C299" s="276" t="s">
        <v>490</v>
      </c>
      <c r="D299" s="276" t="s">
        <v>491</v>
      </c>
      <c r="E299" s="275" t="s">
        <v>254</v>
      </c>
      <c r="F299" s="275" t="s">
        <v>226</v>
      </c>
      <c r="G299" s="274">
        <v>129</v>
      </c>
      <c r="H299" s="273">
        <v>56</v>
      </c>
    </row>
    <row r="300" spans="1:8" x14ac:dyDescent="0.2">
      <c r="A300" s="277">
        <v>172</v>
      </c>
      <c r="B300" s="275" t="s">
        <v>487</v>
      </c>
      <c r="C300" s="276" t="s">
        <v>490</v>
      </c>
      <c r="D300" s="276" t="s">
        <v>491</v>
      </c>
      <c r="E300" s="275" t="s">
        <v>227</v>
      </c>
      <c r="F300" s="275" t="s">
        <v>205</v>
      </c>
      <c r="G300" s="274">
        <v>96</v>
      </c>
      <c r="H300" s="273">
        <v>56</v>
      </c>
    </row>
    <row r="301" spans="1:8" x14ac:dyDescent="0.2">
      <c r="A301" s="277">
        <v>173</v>
      </c>
      <c r="B301" s="275" t="s">
        <v>487</v>
      </c>
      <c r="C301" s="276" t="s">
        <v>492</v>
      </c>
      <c r="D301" s="276" t="s">
        <v>493</v>
      </c>
      <c r="E301" s="275" t="s">
        <v>200</v>
      </c>
      <c r="F301" s="275" t="s">
        <v>220</v>
      </c>
      <c r="G301" s="274">
        <v>124</v>
      </c>
      <c r="H301" s="273">
        <v>56</v>
      </c>
    </row>
    <row r="302" spans="1:8" x14ac:dyDescent="0.2">
      <c r="A302" s="277">
        <v>173</v>
      </c>
      <c r="B302" s="275" t="s">
        <v>487</v>
      </c>
      <c r="C302" s="276" t="s">
        <v>492</v>
      </c>
      <c r="D302" s="276" t="s">
        <v>493</v>
      </c>
      <c r="E302" s="275" t="s">
        <v>221</v>
      </c>
      <c r="F302" s="275" t="s">
        <v>253</v>
      </c>
      <c r="G302" s="274">
        <v>99</v>
      </c>
      <c r="H302" s="273">
        <v>56</v>
      </c>
    </row>
    <row r="303" spans="1:8" x14ac:dyDescent="0.2">
      <c r="A303" s="277">
        <v>173</v>
      </c>
      <c r="B303" s="275" t="s">
        <v>487</v>
      </c>
      <c r="C303" s="276" t="s">
        <v>492</v>
      </c>
      <c r="D303" s="276" t="s">
        <v>493</v>
      </c>
      <c r="E303" s="275" t="s">
        <v>254</v>
      </c>
      <c r="F303" s="275" t="s">
        <v>226</v>
      </c>
      <c r="G303" s="274">
        <v>142</v>
      </c>
      <c r="H303" s="273">
        <v>56</v>
      </c>
    </row>
    <row r="304" spans="1:8" x14ac:dyDescent="0.2">
      <c r="A304" s="277">
        <v>173</v>
      </c>
      <c r="B304" s="275" t="s">
        <v>487</v>
      </c>
      <c r="C304" s="276" t="s">
        <v>492</v>
      </c>
      <c r="D304" s="276" t="s">
        <v>493</v>
      </c>
      <c r="E304" s="275" t="s">
        <v>227</v>
      </c>
      <c r="F304" s="275" t="s">
        <v>205</v>
      </c>
      <c r="G304" s="274">
        <v>124</v>
      </c>
      <c r="H304" s="273">
        <v>56</v>
      </c>
    </row>
    <row r="305" spans="1:8" x14ac:dyDescent="0.2">
      <c r="A305" s="277">
        <v>174</v>
      </c>
      <c r="B305" s="275" t="s">
        <v>487</v>
      </c>
      <c r="C305" s="276" t="s">
        <v>494</v>
      </c>
      <c r="D305" s="276" t="s">
        <v>495</v>
      </c>
      <c r="E305" s="275" t="s">
        <v>200</v>
      </c>
      <c r="F305" s="275" t="s">
        <v>253</v>
      </c>
      <c r="G305" s="274">
        <v>85</v>
      </c>
      <c r="H305" s="273">
        <v>56</v>
      </c>
    </row>
    <row r="306" spans="1:8" x14ac:dyDescent="0.2">
      <c r="A306" s="277">
        <v>174</v>
      </c>
      <c r="B306" s="275" t="s">
        <v>487</v>
      </c>
      <c r="C306" s="276" t="s">
        <v>494</v>
      </c>
      <c r="D306" s="276" t="s">
        <v>495</v>
      </c>
      <c r="E306" s="275" t="s">
        <v>254</v>
      </c>
      <c r="F306" s="275" t="s">
        <v>226</v>
      </c>
      <c r="G306" s="274">
        <v>108</v>
      </c>
      <c r="H306" s="273">
        <v>56</v>
      </c>
    </row>
    <row r="307" spans="1:8" x14ac:dyDescent="0.2">
      <c r="A307" s="277">
        <v>174</v>
      </c>
      <c r="B307" s="275" t="s">
        <v>487</v>
      </c>
      <c r="C307" s="276" t="s">
        <v>494</v>
      </c>
      <c r="D307" s="276" t="s">
        <v>495</v>
      </c>
      <c r="E307" s="275" t="s">
        <v>227</v>
      </c>
      <c r="F307" s="275" t="s">
        <v>205</v>
      </c>
      <c r="G307" s="274">
        <v>85</v>
      </c>
      <c r="H307" s="273">
        <v>56</v>
      </c>
    </row>
    <row r="308" spans="1:8" x14ac:dyDescent="0.2">
      <c r="A308" s="277">
        <v>175</v>
      </c>
      <c r="B308" s="275" t="s">
        <v>496</v>
      </c>
      <c r="C308" s="276" t="s">
        <v>497</v>
      </c>
      <c r="D308" s="276" t="s">
        <v>498</v>
      </c>
      <c r="E308" s="275" t="s">
        <v>114</v>
      </c>
      <c r="F308" s="275" t="s">
        <v>114</v>
      </c>
      <c r="G308" s="274">
        <v>105</v>
      </c>
      <c r="H308" s="273">
        <v>56</v>
      </c>
    </row>
    <row r="309" spans="1:8" ht="25.5" x14ac:dyDescent="0.2">
      <c r="A309" s="277">
        <v>176</v>
      </c>
      <c r="B309" s="275" t="s">
        <v>496</v>
      </c>
      <c r="C309" s="276" t="s">
        <v>499</v>
      </c>
      <c r="D309" s="276" t="s">
        <v>500</v>
      </c>
      <c r="E309" s="275" t="s">
        <v>114</v>
      </c>
      <c r="F309" s="275" t="s">
        <v>114</v>
      </c>
      <c r="G309" s="274">
        <v>91</v>
      </c>
      <c r="H309" s="273">
        <v>51</v>
      </c>
    </row>
    <row r="310" spans="1:8" x14ac:dyDescent="0.2">
      <c r="A310" s="277">
        <v>178</v>
      </c>
      <c r="B310" s="275" t="s">
        <v>496</v>
      </c>
      <c r="C310" s="276" t="s">
        <v>501</v>
      </c>
      <c r="D310" s="276" t="s">
        <v>502</v>
      </c>
      <c r="E310" s="275" t="s">
        <v>114</v>
      </c>
      <c r="F310" s="275" t="s">
        <v>114</v>
      </c>
      <c r="G310" s="274">
        <v>109</v>
      </c>
      <c r="H310" s="273">
        <v>56</v>
      </c>
    </row>
    <row r="311" spans="1:8" x14ac:dyDescent="0.2">
      <c r="A311" s="277">
        <v>179</v>
      </c>
      <c r="B311" s="275" t="s">
        <v>496</v>
      </c>
      <c r="C311" s="276" t="s">
        <v>503</v>
      </c>
      <c r="D311" s="276" t="s">
        <v>1074</v>
      </c>
      <c r="E311" s="275" t="s">
        <v>114</v>
      </c>
      <c r="F311" s="275" t="s">
        <v>114</v>
      </c>
      <c r="G311" s="274">
        <v>91</v>
      </c>
      <c r="H311" s="273">
        <v>51</v>
      </c>
    </row>
    <row r="312" spans="1:8" x14ac:dyDescent="0.2">
      <c r="A312" s="277">
        <v>183</v>
      </c>
      <c r="B312" s="275" t="s">
        <v>496</v>
      </c>
      <c r="C312" s="276" t="s">
        <v>504</v>
      </c>
      <c r="D312" s="276" t="s">
        <v>336</v>
      </c>
      <c r="E312" s="275" t="s">
        <v>114</v>
      </c>
      <c r="F312" s="275" t="s">
        <v>114</v>
      </c>
      <c r="G312" s="274">
        <v>96</v>
      </c>
      <c r="H312" s="273">
        <v>51</v>
      </c>
    </row>
    <row r="313" spans="1:8" x14ac:dyDescent="0.2">
      <c r="A313" s="277">
        <v>184</v>
      </c>
      <c r="B313" s="275" t="s">
        <v>496</v>
      </c>
      <c r="C313" s="276" t="s">
        <v>505</v>
      </c>
      <c r="D313" s="276" t="s">
        <v>506</v>
      </c>
      <c r="E313" s="275" t="s">
        <v>114</v>
      </c>
      <c r="F313" s="275" t="s">
        <v>114</v>
      </c>
      <c r="G313" s="274">
        <v>98</v>
      </c>
      <c r="H313" s="273">
        <v>56</v>
      </c>
    </row>
    <row r="314" spans="1:8" x14ac:dyDescent="0.2">
      <c r="A314" s="277">
        <v>185</v>
      </c>
      <c r="B314" s="275" t="s">
        <v>496</v>
      </c>
      <c r="C314" s="276" t="s">
        <v>507</v>
      </c>
      <c r="D314" s="276" t="s">
        <v>508</v>
      </c>
      <c r="E314" s="275" t="s">
        <v>114</v>
      </c>
      <c r="F314" s="275" t="s">
        <v>114</v>
      </c>
      <c r="G314" s="274">
        <v>89</v>
      </c>
      <c r="H314" s="273">
        <v>51</v>
      </c>
    </row>
    <row r="315" spans="1:8" x14ac:dyDescent="0.2">
      <c r="A315" s="277">
        <v>187</v>
      </c>
      <c r="B315" s="275" t="s">
        <v>496</v>
      </c>
      <c r="C315" s="276" t="s">
        <v>509</v>
      </c>
      <c r="D315" s="276" t="s">
        <v>510</v>
      </c>
      <c r="E315" s="275" t="s">
        <v>200</v>
      </c>
      <c r="F315" s="275" t="s">
        <v>253</v>
      </c>
      <c r="G315" s="274">
        <v>83</v>
      </c>
      <c r="H315" s="273">
        <v>66</v>
      </c>
    </row>
    <row r="316" spans="1:8" x14ac:dyDescent="0.2">
      <c r="A316" s="277">
        <v>187</v>
      </c>
      <c r="B316" s="275" t="s">
        <v>496</v>
      </c>
      <c r="C316" s="276" t="s">
        <v>509</v>
      </c>
      <c r="D316" s="276" t="s">
        <v>510</v>
      </c>
      <c r="E316" s="275" t="s">
        <v>254</v>
      </c>
      <c r="F316" s="275" t="s">
        <v>226</v>
      </c>
      <c r="G316" s="274">
        <v>99</v>
      </c>
      <c r="H316" s="273">
        <v>66</v>
      </c>
    </row>
    <row r="317" spans="1:8" x14ac:dyDescent="0.2">
      <c r="A317" s="277">
        <v>187</v>
      </c>
      <c r="B317" s="275" t="s">
        <v>496</v>
      </c>
      <c r="C317" s="276" t="s">
        <v>509</v>
      </c>
      <c r="D317" s="276" t="s">
        <v>510</v>
      </c>
      <c r="E317" s="275" t="s">
        <v>227</v>
      </c>
      <c r="F317" s="275" t="s">
        <v>205</v>
      </c>
      <c r="G317" s="274">
        <v>83</v>
      </c>
      <c r="H317" s="273">
        <v>66</v>
      </c>
    </row>
    <row r="318" spans="1:8" x14ac:dyDescent="0.2">
      <c r="A318" s="277">
        <v>188</v>
      </c>
      <c r="B318" s="275" t="s">
        <v>496</v>
      </c>
      <c r="C318" s="276" t="s">
        <v>511</v>
      </c>
      <c r="D318" s="276" t="s">
        <v>511</v>
      </c>
      <c r="E318" s="275" t="s">
        <v>114</v>
      </c>
      <c r="F318" s="275" t="s">
        <v>114</v>
      </c>
      <c r="G318" s="274">
        <v>97</v>
      </c>
      <c r="H318" s="273">
        <v>46</v>
      </c>
    </row>
    <row r="319" spans="1:8" x14ac:dyDescent="0.2">
      <c r="A319" s="277">
        <v>190</v>
      </c>
      <c r="B319" s="275" t="s">
        <v>496</v>
      </c>
      <c r="C319" s="276" t="s">
        <v>512</v>
      </c>
      <c r="D319" s="276" t="s">
        <v>512</v>
      </c>
      <c r="E319" s="275" t="s">
        <v>200</v>
      </c>
      <c r="F319" s="275" t="s">
        <v>201</v>
      </c>
      <c r="G319" s="274">
        <v>83</v>
      </c>
      <c r="H319" s="273">
        <v>46</v>
      </c>
    </row>
    <row r="320" spans="1:8" x14ac:dyDescent="0.2">
      <c r="A320" s="277">
        <v>190</v>
      </c>
      <c r="B320" s="275" t="s">
        <v>496</v>
      </c>
      <c r="C320" s="276" t="s">
        <v>512</v>
      </c>
      <c r="D320" s="276" t="s">
        <v>512</v>
      </c>
      <c r="E320" s="275" t="s">
        <v>202</v>
      </c>
      <c r="F320" s="275" t="s">
        <v>226</v>
      </c>
      <c r="G320" s="274">
        <v>106</v>
      </c>
      <c r="H320" s="273">
        <v>46</v>
      </c>
    </row>
    <row r="321" spans="1:8" x14ac:dyDescent="0.2">
      <c r="A321" s="277">
        <v>190</v>
      </c>
      <c r="B321" s="275" t="s">
        <v>496</v>
      </c>
      <c r="C321" s="276" t="s">
        <v>512</v>
      </c>
      <c r="D321" s="276" t="s">
        <v>512</v>
      </c>
      <c r="E321" s="275" t="s">
        <v>227</v>
      </c>
      <c r="F321" s="275" t="s">
        <v>205</v>
      </c>
      <c r="G321" s="274">
        <v>83</v>
      </c>
      <c r="H321" s="273">
        <v>46</v>
      </c>
    </row>
    <row r="322" spans="1:8" x14ac:dyDescent="0.2">
      <c r="A322" s="277">
        <v>192</v>
      </c>
      <c r="B322" s="275" t="s">
        <v>496</v>
      </c>
      <c r="C322" s="276" t="s">
        <v>513</v>
      </c>
      <c r="D322" s="276" t="s">
        <v>514</v>
      </c>
      <c r="E322" s="275" t="s">
        <v>200</v>
      </c>
      <c r="F322" s="275" t="s">
        <v>253</v>
      </c>
      <c r="G322" s="274">
        <v>85</v>
      </c>
      <c r="H322" s="273">
        <v>51</v>
      </c>
    </row>
    <row r="323" spans="1:8" x14ac:dyDescent="0.2">
      <c r="A323" s="277">
        <v>192</v>
      </c>
      <c r="B323" s="275" t="s">
        <v>496</v>
      </c>
      <c r="C323" s="276" t="s">
        <v>513</v>
      </c>
      <c r="D323" s="276" t="s">
        <v>514</v>
      </c>
      <c r="E323" s="275" t="s">
        <v>254</v>
      </c>
      <c r="F323" s="275" t="s">
        <v>226</v>
      </c>
      <c r="G323" s="274">
        <v>116</v>
      </c>
      <c r="H323" s="273">
        <v>51</v>
      </c>
    </row>
    <row r="324" spans="1:8" x14ac:dyDescent="0.2">
      <c r="A324" s="277">
        <v>192</v>
      </c>
      <c r="B324" s="275" t="s">
        <v>496</v>
      </c>
      <c r="C324" s="276" t="s">
        <v>513</v>
      </c>
      <c r="D324" s="276" t="s">
        <v>514</v>
      </c>
      <c r="E324" s="275" t="s">
        <v>227</v>
      </c>
      <c r="F324" s="275" t="s">
        <v>205</v>
      </c>
      <c r="G324" s="274">
        <v>85</v>
      </c>
      <c r="H324" s="273">
        <v>51</v>
      </c>
    </row>
    <row r="325" spans="1:8" x14ac:dyDescent="0.2">
      <c r="A325" s="277">
        <v>193</v>
      </c>
      <c r="B325" s="275" t="s">
        <v>496</v>
      </c>
      <c r="C325" s="276" t="s">
        <v>515</v>
      </c>
      <c r="D325" s="276" t="s">
        <v>262</v>
      </c>
      <c r="E325" s="275" t="s">
        <v>114</v>
      </c>
      <c r="F325" s="275" t="s">
        <v>114</v>
      </c>
      <c r="G325" s="274">
        <v>96</v>
      </c>
      <c r="H325" s="273">
        <v>56</v>
      </c>
    </row>
    <row r="326" spans="1:8" x14ac:dyDescent="0.2">
      <c r="A326" s="277">
        <v>195</v>
      </c>
      <c r="B326" s="275" t="s">
        <v>496</v>
      </c>
      <c r="C326" s="276" t="s">
        <v>516</v>
      </c>
      <c r="D326" s="276" t="s">
        <v>517</v>
      </c>
      <c r="E326" s="275" t="s">
        <v>200</v>
      </c>
      <c r="F326" s="275" t="s">
        <v>201</v>
      </c>
      <c r="G326" s="274">
        <v>83</v>
      </c>
      <c r="H326" s="273">
        <v>56</v>
      </c>
    </row>
    <row r="327" spans="1:8" x14ac:dyDescent="0.2">
      <c r="A327" s="277">
        <v>195</v>
      </c>
      <c r="B327" s="275" t="s">
        <v>496</v>
      </c>
      <c r="C327" s="276" t="s">
        <v>516</v>
      </c>
      <c r="D327" s="276" t="s">
        <v>517</v>
      </c>
      <c r="E327" s="275" t="s">
        <v>202</v>
      </c>
      <c r="F327" s="275" t="s">
        <v>226</v>
      </c>
      <c r="G327" s="274">
        <v>104</v>
      </c>
      <c r="H327" s="273">
        <v>56</v>
      </c>
    </row>
    <row r="328" spans="1:8" x14ac:dyDescent="0.2">
      <c r="A328" s="277">
        <v>195</v>
      </c>
      <c r="B328" s="275" t="s">
        <v>496</v>
      </c>
      <c r="C328" s="276" t="s">
        <v>516</v>
      </c>
      <c r="D328" s="276" t="s">
        <v>517</v>
      </c>
      <c r="E328" s="275" t="s">
        <v>227</v>
      </c>
      <c r="F328" s="275" t="s">
        <v>205</v>
      </c>
      <c r="G328" s="274">
        <v>83</v>
      </c>
      <c r="H328" s="273">
        <v>56</v>
      </c>
    </row>
    <row r="329" spans="1:8" x14ac:dyDescent="0.2">
      <c r="A329" s="277">
        <v>196</v>
      </c>
      <c r="B329" s="275" t="s">
        <v>496</v>
      </c>
      <c r="C329" s="276" t="s">
        <v>1073</v>
      </c>
      <c r="D329" s="276" t="s">
        <v>1072</v>
      </c>
      <c r="E329" s="275" t="s">
        <v>200</v>
      </c>
      <c r="F329" s="275" t="s">
        <v>253</v>
      </c>
      <c r="G329" s="274">
        <v>88</v>
      </c>
      <c r="H329" s="273">
        <v>51</v>
      </c>
    </row>
    <row r="330" spans="1:8" x14ac:dyDescent="0.2">
      <c r="A330" s="277">
        <v>196</v>
      </c>
      <c r="B330" s="275" t="s">
        <v>496</v>
      </c>
      <c r="C330" s="276" t="s">
        <v>1073</v>
      </c>
      <c r="D330" s="276" t="s">
        <v>1072</v>
      </c>
      <c r="E330" s="275" t="s">
        <v>254</v>
      </c>
      <c r="F330" s="275" t="s">
        <v>226</v>
      </c>
      <c r="G330" s="274">
        <v>151</v>
      </c>
      <c r="H330" s="273">
        <v>51</v>
      </c>
    </row>
    <row r="331" spans="1:8" x14ac:dyDescent="0.2">
      <c r="A331" s="277">
        <v>196</v>
      </c>
      <c r="B331" s="275" t="s">
        <v>496</v>
      </c>
      <c r="C331" s="276" t="s">
        <v>1073</v>
      </c>
      <c r="D331" s="276" t="s">
        <v>1072</v>
      </c>
      <c r="E331" s="275" t="s">
        <v>227</v>
      </c>
      <c r="F331" s="275" t="s">
        <v>205</v>
      </c>
      <c r="G331" s="274">
        <v>88</v>
      </c>
      <c r="H331" s="273">
        <v>51</v>
      </c>
    </row>
    <row r="332" spans="1:8" x14ac:dyDescent="0.2">
      <c r="A332" s="277">
        <v>199</v>
      </c>
      <c r="B332" s="275" t="s">
        <v>518</v>
      </c>
      <c r="C332" s="276" t="s">
        <v>519</v>
      </c>
      <c r="D332" s="276" t="s">
        <v>520</v>
      </c>
      <c r="E332" s="275" t="s">
        <v>200</v>
      </c>
      <c r="F332" s="275" t="s">
        <v>253</v>
      </c>
      <c r="G332" s="274">
        <v>97</v>
      </c>
      <c r="H332" s="273">
        <v>56</v>
      </c>
    </row>
    <row r="333" spans="1:8" x14ac:dyDescent="0.2">
      <c r="A333" s="277">
        <v>199</v>
      </c>
      <c r="B333" s="275" t="s">
        <v>518</v>
      </c>
      <c r="C333" s="276" t="s">
        <v>519</v>
      </c>
      <c r="D333" s="276" t="s">
        <v>520</v>
      </c>
      <c r="E333" s="275" t="s">
        <v>254</v>
      </c>
      <c r="F333" s="275" t="s">
        <v>226</v>
      </c>
      <c r="G333" s="274">
        <v>125</v>
      </c>
      <c r="H333" s="273">
        <v>56</v>
      </c>
    </row>
    <row r="334" spans="1:8" x14ac:dyDescent="0.2">
      <c r="A334" s="277">
        <v>199</v>
      </c>
      <c r="B334" s="275" t="s">
        <v>518</v>
      </c>
      <c r="C334" s="276" t="s">
        <v>519</v>
      </c>
      <c r="D334" s="276" t="s">
        <v>520</v>
      </c>
      <c r="E334" s="275" t="s">
        <v>227</v>
      </c>
      <c r="F334" s="275" t="s">
        <v>205</v>
      </c>
      <c r="G334" s="274">
        <v>97</v>
      </c>
      <c r="H334" s="273">
        <v>56</v>
      </c>
    </row>
    <row r="335" spans="1:8" ht="25.5" x14ac:dyDescent="0.2">
      <c r="A335" s="277">
        <v>200</v>
      </c>
      <c r="B335" s="275" t="s">
        <v>518</v>
      </c>
      <c r="C335" s="276" t="s">
        <v>521</v>
      </c>
      <c r="D335" s="276" t="s">
        <v>522</v>
      </c>
      <c r="E335" s="275" t="s">
        <v>114</v>
      </c>
      <c r="F335" s="275" t="s">
        <v>114</v>
      </c>
      <c r="G335" s="274">
        <v>89</v>
      </c>
      <c r="H335" s="273">
        <v>56</v>
      </c>
    </row>
    <row r="336" spans="1:8" x14ac:dyDescent="0.2">
      <c r="A336" s="277">
        <v>201</v>
      </c>
      <c r="B336" s="275" t="s">
        <v>518</v>
      </c>
      <c r="C336" s="276" t="s">
        <v>523</v>
      </c>
      <c r="D336" s="276" t="s">
        <v>1071</v>
      </c>
      <c r="E336" s="275" t="s">
        <v>114</v>
      </c>
      <c r="F336" s="275" t="s">
        <v>114</v>
      </c>
      <c r="G336" s="274">
        <v>135</v>
      </c>
      <c r="H336" s="273">
        <v>71</v>
      </c>
    </row>
    <row r="337" spans="1:8" x14ac:dyDescent="0.2">
      <c r="A337" s="277">
        <v>202</v>
      </c>
      <c r="B337" s="275" t="s">
        <v>518</v>
      </c>
      <c r="C337" s="276" t="s">
        <v>524</v>
      </c>
      <c r="D337" s="276" t="s">
        <v>525</v>
      </c>
      <c r="E337" s="275" t="s">
        <v>114</v>
      </c>
      <c r="F337" s="275" t="s">
        <v>114</v>
      </c>
      <c r="G337" s="274">
        <v>112</v>
      </c>
      <c r="H337" s="273">
        <v>51</v>
      </c>
    </row>
    <row r="338" spans="1:8" x14ac:dyDescent="0.2">
      <c r="A338" s="277">
        <v>204</v>
      </c>
      <c r="B338" s="275" t="s">
        <v>526</v>
      </c>
      <c r="C338" s="276" t="s">
        <v>527</v>
      </c>
      <c r="D338" s="276" t="s">
        <v>1070</v>
      </c>
      <c r="E338" s="275" t="s">
        <v>114</v>
      </c>
      <c r="F338" s="275" t="s">
        <v>114</v>
      </c>
      <c r="G338" s="274">
        <v>106</v>
      </c>
      <c r="H338" s="273">
        <v>61</v>
      </c>
    </row>
    <row r="339" spans="1:8" ht="38.25" x14ac:dyDescent="0.2">
      <c r="A339" s="277">
        <v>207</v>
      </c>
      <c r="B339" s="275" t="s">
        <v>526</v>
      </c>
      <c r="C339" s="276" t="s">
        <v>520</v>
      </c>
      <c r="D339" s="276" t="s">
        <v>1069</v>
      </c>
      <c r="E339" s="275" t="s">
        <v>114</v>
      </c>
      <c r="F339" s="275" t="s">
        <v>114</v>
      </c>
      <c r="G339" s="274">
        <v>115</v>
      </c>
      <c r="H339" s="273">
        <v>66</v>
      </c>
    </row>
    <row r="340" spans="1:8" x14ac:dyDescent="0.2">
      <c r="A340" s="277">
        <v>446</v>
      </c>
      <c r="B340" s="275" t="s">
        <v>528</v>
      </c>
      <c r="C340" s="276" t="s">
        <v>529</v>
      </c>
      <c r="D340" s="276" t="s">
        <v>1068</v>
      </c>
      <c r="E340" s="275" t="s">
        <v>114</v>
      </c>
      <c r="F340" s="275" t="s">
        <v>114</v>
      </c>
      <c r="G340" s="274">
        <v>87</v>
      </c>
      <c r="H340" s="273">
        <v>51</v>
      </c>
    </row>
    <row r="341" spans="1:8" x14ac:dyDescent="0.2">
      <c r="A341" s="277">
        <v>477</v>
      </c>
      <c r="B341" s="275" t="s">
        <v>528</v>
      </c>
      <c r="C341" s="276" t="s">
        <v>530</v>
      </c>
      <c r="D341" s="276" t="s">
        <v>531</v>
      </c>
      <c r="E341" s="275" t="s">
        <v>114</v>
      </c>
      <c r="F341" s="275" t="s">
        <v>114</v>
      </c>
      <c r="G341" s="274">
        <v>102</v>
      </c>
      <c r="H341" s="273">
        <v>51</v>
      </c>
    </row>
    <row r="342" spans="1:8" x14ac:dyDescent="0.2">
      <c r="A342" s="277">
        <v>447</v>
      </c>
      <c r="B342" s="275" t="s">
        <v>528</v>
      </c>
      <c r="C342" s="276" t="s">
        <v>532</v>
      </c>
      <c r="D342" s="276" t="s">
        <v>533</v>
      </c>
      <c r="E342" s="275" t="s">
        <v>114</v>
      </c>
      <c r="F342" s="275" t="s">
        <v>114</v>
      </c>
      <c r="G342" s="274">
        <v>96</v>
      </c>
      <c r="H342" s="273">
        <v>46</v>
      </c>
    </row>
    <row r="343" spans="1:8" x14ac:dyDescent="0.2">
      <c r="A343" s="277">
        <v>211</v>
      </c>
      <c r="B343" s="275" t="s">
        <v>528</v>
      </c>
      <c r="C343" s="276" t="s">
        <v>534</v>
      </c>
      <c r="D343" s="276" t="s">
        <v>535</v>
      </c>
      <c r="E343" s="275" t="s">
        <v>114</v>
      </c>
      <c r="F343" s="275" t="s">
        <v>114</v>
      </c>
      <c r="G343" s="274">
        <v>98</v>
      </c>
      <c r="H343" s="273">
        <v>46</v>
      </c>
    </row>
    <row r="344" spans="1:8" x14ac:dyDescent="0.2">
      <c r="A344" s="277">
        <v>215</v>
      </c>
      <c r="B344" s="275" t="s">
        <v>536</v>
      </c>
      <c r="C344" s="276" t="s">
        <v>537</v>
      </c>
      <c r="D344" s="276" t="s">
        <v>538</v>
      </c>
      <c r="E344" s="275" t="s">
        <v>200</v>
      </c>
      <c r="F344" s="275" t="s">
        <v>201</v>
      </c>
      <c r="G344" s="274">
        <v>86</v>
      </c>
      <c r="H344" s="273">
        <v>61</v>
      </c>
    </row>
    <row r="345" spans="1:8" x14ac:dyDescent="0.2">
      <c r="A345" s="277">
        <v>215</v>
      </c>
      <c r="B345" s="275" t="s">
        <v>536</v>
      </c>
      <c r="C345" s="276" t="s">
        <v>537</v>
      </c>
      <c r="D345" s="276" t="s">
        <v>538</v>
      </c>
      <c r="E345" s="275" t="s">
        <v>202</v>
      </c>
      <c r="F345" s="275" t="s">
        <v>205</v>
      </c>
      <c r="G345" s="274">
        <v>125</v>
      </c>
      <c r="H345" s="273">
        <v>61</v>
      </c>
    </row>
    <row r="346" spans="1:8" x14ac:dyDescent="0.2">
      <c r="A346" s="277">
        <v>212</v>
      </c>
      <c r="B346" s="275" t="s">
        <v>536</v>
      </c>
      <c r="C346" s="276" t="s">
        <v>539</v>
      </c>
      <c r="D346" s="276" t="s">
        <v>540</v>
      </c>
      <c r="E346" s="275" t="s">
        <v>114</v>
      </c>
      <c r="F346" s="275" t="s">
        <v>114</v>
      </c>
      <c r="G346" s="274">
        <v>88</v>
      </c>
      <c r="H346" s="273">
        <v>51</v>
      </c>
    </row>
    <row r="347" spans="1:8" x14ac:dyDescent="0.2">
      <c r="A347" s="277">
        <v>488</v>
      </c>
      <c r="B347" s="275" t="s">
        <v>536</v>
      </c>
      <c r="C347" s="276" t="s">
        <v>541</v>
      </c>
      <c r="D347" s="276" t="s">
        <v>542</v>
      </c>
      <c r="E347" s="275" t="s">
        <v>114</v>
      </c>
      <c r="F347" s="275" t="s">
        <v>114</v>
      </c>
      <c r="G347" s="274">
        <v>161</v>
      </c>
      <c r="H347" s="273">
        <v>56</v>
      </c>
    </row>
    <row r="348" spans="1:8" x14ac:dyDescent="0.2">
      <c r="A348" s="277">
        <v>426</v>
      </c>
      <c r="B348" s="275" t="s">
        <v>536</v>
      </c>
      <c r="C348" s="276" t="s">
        <v>543</v>
      </c>
      <c r="D348" s="276" t="s">
        <v>544</v>
      </c>
      <c r="E348" s="275" t="s">
        <v>114</v>
      </c>
      <c r="F348" s="275" t="s">
        <v>114</v>
      </c>
      <c r="G348" s="274">
        <v>89</v>
      </c>
      <c r="H348" s="273">
        <v>56</v>
      </c>
    </row>
    <row r="349" spans="1:8" x14ac:dyDescent="0.2">
      <c r="A349" s="277">
        <v>213</v>
      </c>
      <c r="B349" s="275" t="s">
        <v>536</v>
      </c>
      <c r="C349" s="276" t="s">
        <v>545</v>
      </c>
      <c r="D349" s="276" t="s">
        <v>546</v>
      </c>
      <c r="E349" s="275" t="s">
        <v>200</v>
      </c>
      <c r="F349" s="275" t="s">
        <v>253</v>
      </c>
      <c r="G349" s="274">
        <v>92</v>
      </c>
      <c r="H349" s="273">
        <v>51</v>
      </c>
    </row>
    <row r="350" spans="1:8" x14ac:dyDescent="0.2">
      <c r="A350" s="277">
        <v>213</v>
      </c>
      <c r="B350" s="275" t="s">
        <v>536</v>
      </c>
      <c r="C350" s="276" t="s">
        <v>545</v>
      </c>
      <c r="D350" s="276" t="s">
        <v>546</v>
      </c>
      <c r="E350" s="275" t="s">
        <v>254</v>
      </c>
      <c r="F350" s="275" t="s">
        <v>226</v>
      </c>
      <c r="G350" s="274">
        <v>128</v>
      </c>
      <c r="H350" s="273">
        <v>51</v>
      </c>
    </row>
    <row r="351" spans="1:8" x14ac:dyDescent="0.2">
      <c r="A351" s="277">
        <v>213</v>
      </c>
      <c r="B351" s="275" t="s">
        <v>536</v>
      </c>
      <c r="C351" s="276" t="s">
        <v>545</v>
      </c>
      <c r="D351" s="276" t="s">
        <v>546</v>
      </c>
      <c r="E351" s="275" t="s">
        <v>227</v>
      </c>
      <c r="F351" s="275" t="s">
        <v>205</v>
      </c>
      <c r="G351" s="274">
        <v>92</v>
      </c>
      <c r="H351" s="273">
        <v>51</v>
      </c>
    </row>
    <row r="352" spans="1:8" x14ac:dyDescent="0.2">
      <c r="A352" s="277">
        <v>216</v>
      </c>
      <c r="B352" s="275" t="s">
        <v>547</v>
      </c>
      <c r="C352" s="276" t="s">
        <v>548</v>
      </c>
      <c r="D352" s="276" t="s">
        <v>549</v>
      </c>
      <c r="E352" s="275" t="s">
        <v>114</v>
      </c>
      <c r="F352" s="275" t="s">
        <v>114</v>
      </c>
      <c r="G352" s="274">
        <v>102</v>
      </c>
      <c r="H352" s="273">
        <v>51</v>
      </c>
    </row>
    <row r="353" spans="1:8" x14ac:dyDescent="0.2">
      <c r="A353" s="277">
        <v>217</v>
      </c>
      <c r="B353" s="275" t="s">
        <v>547</v>
      </c>
      <c r="C353" s="276" t="s">
        <v>550</v>
      </c>
      <c r="D353" s="276" t="s">
        <v>551</v>
      </c>
      <c r="E353" s="275" t="s">
        <v>200</v>
      </c>
      <c r="F353" s="275" t="s">
        <v>201</v>
      </c>
      <c r="G353" s="274">
        <v>83</v>
      </c>
      <c r="H353" s="273">
        <v>56</v>
      </c>
    </row>
    <row r="354" spans="1:8" x14ac:dyDescent="0.2">
      <c r="A354" s="277">
        <v>217</v>
      </c>
      <c r="B354" s="275" t="s">
        <v>547</v>
      </c>
      <c r="C354" s="276" t="s">
        <v>550</v>
      </c>
      <c r="D354" s="276" t="s">
        <v>551</v>
      </c>
      <c r="E354" s="275" t="s">
        <v>202</v>
      </c>
      <c r="F354" s="275" t="s">
        <v>226</v>
      </c>
      <c r="G354" s="274">
        <v>112</v>
      </c>
      <c r="H354" s="273">
        <v>56</v>
      </c>
    </row>
    <row r="355" spans="1:8" x14ac:dyDescent="0.2">
      <c r="A355" s="277">
        <v>217</v>
      </c>
      <c r="B355" s="275" t="s">
        <v>547</v>
      </c>
      <c r="C355" s="276" t="s">
        <v>550</v>
      </c>
      <c r="D355" s="276" t="s">
        <v>551</v>
      </c>
      <c r="E355" s="275" t="s">
        <v>227</v>
      </c>
      <c r="F355" s="275" t="s">
        <v>205</v>
      </c>
      <c r="G355" s="274">
        <v>83</v>
      </c>
      <c r="H355" s="273">
        <v>56</v>
      </c>
    </row>
    <row r="356" spans="1:8" x14ac:dyDescent="0.2">
      <c r="A356" s="277">
        <v>218</v>
      </c>
      <c r="B356" s="275" t="s">
        <v>547</v>
      </c>
      <c r="C356" s="276" t="s">
        <v>552</v>
      </c>
      <c r="D356" s="276" t="s">
        <v>365</v>
      </c>
      <c r="E356" s="275" t="s">
        <v>114</v>
      </c>
      <c r="F356" s="275" t="s">
        <v>114</v>
      </c>
      <c r="G356" s="274">
        <v>97</v>
      </c>
      <c r="H356" s="273">
        <v>56</v>
      </c>
    </row>
    <row r="357" spans="1:8" x14ac:dyDescent="0.2">
      <c r="A357" s="277">
        <v>219</v>
      </c>
      <c r="B357" s="275" t="s">
        <v>547</v>
      </c>
      <c r="C357" s="276" t="s">
        <v>371</v>
      </c>
      <c r="D357" s="276" t="s">
        <v>553</v>
      </c>
      <c r="E357" s="275" t="s">
        <v>114</v>
      </c>
      <c r="F357" s="275" t="s">
        <v>114</v>
      </c>
      <c r="G357" s="274">
        <v>110</v>
      </c>
      <c r="H357" s="273">
        <v>51</v>
      </c>
    </row>
    <row r="358" spans="1:8" x14ac:dyDescent="0.2">
      <c r="A358" s="277">
        <v>221</v>
      </c>
      <c r="B358" s="275" t="s">
        <v>547</v>
      </c>
      <c r="C358" s="276" t="s">
        <v>554</v>
      </c>
      <c r="D358" s="276" t="s">
        <v>554</v>
      </c>
      <c r="E358" s="275" t="s">
        <v>114</v>
      </c>
      <c r="F358" s="275" t="s">
        <v>114</v>
      </c>
      <c r="G358" s="274">
        <v>92</v>
      </c>
      <c r="H358" s="273">
        <v>51</v>
      </c>
    </row>
    <row r="359" spans="1:8" x14ac:dyDescent="0.2">
      <c r="A359" s="277">
        <v>464</v>
      </c>
      <c r="B359" s="275" t="s">
        <v>547</v>
      </c>
      <c r="C359" s="276" t="s">
        <v>555</v>
      </c>
      <c r="D359" s="276" t="s">
        <v>556</v>
      </c>
      <c r="E359" s="275" t="s">
        <v>114</v>
      </c>
      <c r="F359" s="275" t="s">
        <v>114</v>
      </c>
      <c r="G359" s="274">
        <v>99</v>
      </c>
      <c r="H359" s="273">
        <v>51</v>
      </c>
    </row>
    <row r="360" spans="1:8" x14ac:dyDescent="0.2">
      <c r="A360" s="277">
        <v>222</v>
      </c>
      <c r="B360" s="275" t="s">
        <v>547</v>
      </c>
      <c r="C360" s="276" t="s">
        <v>557</v>
      </c>
      <c r="D360" s="276" t="s">
        <v>558</v>
      </c>
      <c r="E360" s="275" t="s">
        <v>200</v>
      </c>
      <c r="F360" s="275" t="s">
        <v>220</v>
      </c>
      <c r="G360" s="274">
        <v>97</v>
      </c>
      <c r="H360" s="273">
        <v>56</v>
      </c>
    </row>
    <row r="361" spans="1:8" x14ac:dyDescent="0.2">
      <c r="A361" s="277">
        <v>222</v>
      </c>
      <c r="B361" s="275" t="s">
        <v>547</v>
      </c>
      <c r="C361" s="276" t="s">
        <v>557</v>
      </c>
      <c r="D361" s="276" t="s">
        <v>558</v>
      </c>
      <c r="E361" s="275" t="s">
        <v>221</v>
      </c>
      <c r="F361" s="275" t="s">
        <v>232</v>
      </c>
      <c r="G361" s="274">
        <v>89</v>
      </c>
      <c r="H361" s="273">
        <v>56</v>
      </c>
    </row>
    <row r="362" spans="1:8" x14ac:dyDescent="0.2">
      <c r="A362" s="277">
        <v>222</v>
      </c>
      <c r="B362" s="275" t="s">
        <v>547</v>
      </c>
      <c r="C362" s="276" t="s">
        <v>557</v>
      </c>
      <c r="D362" s="276" t="s">
        <v>558</v>
      </c>
      <c r="E362" s="275" t="s">
        <v>233</v>
      </c>
      <c r="F362" s="275" t="s">
        <v>205</v>
      </c>
      <c r="G362" s="274">
        <v>97</v>
      </c>
      <c r="H362" s="273">
        <v>56</v>
      </c>
    </row>
    <row r="363" spans="1:8" x14ac:dyDescent="0.2">
      <c r="A363" s="277">
        <v>224</v>
      </c>
      <c r="B363" s="275" t="s">
        <v>547</v>
      </c>
      <c r="C363" s="276" t="s">
        <v>559</v>
      </c>
      <c r="D363" s="276" t="s">
        <v>560</v>
      </c>
      <c r="E363" s="275" t="s">
        <v>200</v>
      </c>
      <c r="F363" s="275" t="s">
        <v>258</v>
      </c>
      <c r="G363" s="274">
        <v>93</v>
      </c>
      <c r="H363" s="273">
        <v>61</v>
      </c>
    </row>
    <row r="364" spans="1:8" x14ac:dyDescent="0.2">
      <c r="A364" s="277">
        <v>224</v>
      </c>
      <c r="B364" s="275" t="s">
        <v>547</v>
      </c>
      <c r="C364" s="276" t="s">
        <v>559</v>
      </c>
      <c r="D364" s="276" t="s">
        <v>560</v>
      </c>
      <c r="E364" s="275" t="s">
        <v>259</v>
      </c>
      <c r="F364" s="275" t="s">
        <v>201</v>
      </c>
      <c r="G364" s="274">
        <v>107</v>
      </c>
      <c r="H364" s="273">
        <v>61</v>
      </c>
    </row>
    <row r="365" spans="1:8" x14ac:dyDescent="0.2">
      <c r="A365" s="277">
        <v>224</v>
      </c>
      <c r="B365" s="275" t="s">
        <v>547</v>
      </c>
      <c r="C365" s="276" t="s">
        <v>559</v>
      </c>
      <c r="D365" s="276" t="s">
        <v>560</v>
      </c>
      <c r="E365" s="275" t="s">
        <v>202</v>
      </c>
      <c r="F365" s="275" t="s">
        <v>226</v>
      </c>
      <c r="G365" s="274">
        <v>162</v>
      </c>
      <c r="H365" s="273">
        <v>61</v>
      </c>
    </row>
    <row r="366" spans="1:8" x14ac:dyDescent="0.2">
      <c r="A366" s="277">
        <v>224</v>
      </c>
      <c r="B366" s="275" t="s">
        <v>547</v>
      </c>
      <c r="C366" s="276" t="s">
        <v>559</v>
      </c>
      <c r="D366" s="276" t="s">
        <v>560</v>
      </c>
      <c r="E366" s="275" t="s">
        <v>227</v>
      </c>
      <c r="F366" s="275" t="s">
        <v>205</v>
      </c>
      <c r="G366" s="274">
        <v>93</v>
      </c>
      <c r="H366" s="273">
        <v>61</v>
      </c>
    </row>
    <row r="367" spans="1:8" x14ac:dyDescent="0.2">
      <c r="A367" s="277">
        <v>226</v>
      </c>
      <c r="B367" s="275" t="s">
        <v>547</v>
      </c>
      <c r="C367" s="276" t="s">
        <v>561</v>
      </c>
      <c r="D367" s="276" t="s">
        <v>562</v>
      </c>
      <c r="E367" s="275" t="s">
        <v>114</v>
      </c>
      <c r="F367" s="275" t="s">
        <v>114</v>
      </c>
      <c r="G367" s="274">
        <v>90</v>
      </c>
      <c r="H367" s="273">
        <v>46</v>
      </c>
    </row>
    <row r="368" spans="1:8" x14ac:dyDescent="0.2">
      <c r="A368" s="277">
        <v>227</v>
      </c>
      <c r="B368" s="275" t="s">
        <v>547</v>
      </c>
      <c r="C368" s="276" t="s">
        <v>563</v>
      </c>
      <c r="D368" s="276" t="s">
        <v>564</v>
      </c>
      <c r="E368" s="275" t="s">
        <v>114</v>
      </c>
      <c r="F368" s="275" t="s">
        <v>114</v>
      </c>
      <c r="G368" s="274">
        <v>98</v>
      </c>
      <c r="H368" s="273">
        <v>66</v>
      </c>
    </row>
    <row r="369" spans="1:8" x14ac:dyDescent="0.2">
      <c r="A369" s="277">
        <v>229</v>
      </c>
      <c r="B369" s="275" t="s">
        <v>547</v>
      </c>
      <c r="C369" s="276" t="s">
        <v>339</v>
      </c>
      <c r="D369" s="276" t="s">
        <v>565</v>
      </c>
      <c r="E369" s="275" t="s">
        <v>114</v>
      </c>
      <c r="F369" s="275" t="s">
        <v>114</v>
      </c>
      <c r="G369" s="274">
        <v>94</v>
      </c>
      <c r="H369" s="273">
        <v>56</v>
      </c>
    </row>
    <row r="370" spans="1:8" x14ac:dyDescent="0.2">
      <c r="A370" s="277">
        <v>484</v>
      </c>
      <c r="B370" s="275" t="s">
        <v>566</v>
      </c>
      <c r="C370" s="276" t="s">
        <v>567</v>
      </c>
      <c r="D370" s="276" t="s">
        <v>1067</v>
      </c>
      <c r="E370" s="275" t="s">
        <v>114</v>
      </c>
      <c r="F370" s="275" t="s">
        <v>114</v>
      </c>
      <c r="G370" s="274">
        <v>118</v>
      </c>
      <c r="H370" s="273">
        <v>56</v>
      </c>
    </row>
    <row r="371" spans="1:8" x14ac:dyDescent="0.2">
      <c r="A371" s="277">
        <v>483</v>
      </c>
      <c r="B371" s="275" t="s">
        <v>566</v>
      </c>
      <c r="C371" s="276" t="s">
        <v>568</v>
      </c>
      <c r="D371" s="276" t="s">
        <v>1066</v>
      </c>
      <c r="E371" s="275" t="s">
        <v>114</v>
      </c>
      <c r="F371" s="275" t="s">
        <v>114</v>
      </c>
      <c r="G371" s="274">
        <v>102</v>
      </c>
      <c r="H371" s="273">
        <v>56</v>
      </c>
    </row>
    <row r="372" spans="1:8" x14ac:dyDescent="0.2">
      <c r="A372" s="277">
        <v>482</v>
      </c>
      <c r="B372" s="275" t="s">
        <v>566</v>
      </c>
      <c r="C372" s="276" t="s">
        <v>569</v>
      </c>
      <c r="D372" s="276" t="s">
        <v>1065</v>
      </c>
      <c r="E372" s="275" t="s">
        <v>114</v>
      </c>
      <c r="F372" s="275" t="s">
        <v>114</v>
      </c>
      <c r="G372" s="274">
        <v>161</v>
      </c>
      <c r="H372" s="273">
        <v>56</v>
      </c>
    </row>
    <row r="373" spans="1:8" x14ac:dyDescent="0.2">
      <c r="A373" s="277">
        <v>231</v>
      </c>
      <c r="B373" s="275" t="s">
        <v>570</v>
      </c>
      <c r="C373" s="276" t="s">
        <v>571</v>
      </c>
      <c r="D373" s="276" t="s">
        <v>308</v>
      </c>
      <c r="E373" s="275" t="s">
        <v>114</v>
      </c>
      <c r="F373" s="275" t="s">
        <v>114</v>
      </c>
      <c r="G373" s="274">
        <v>102</v>
      </c>
      <c r="H373" s="273">
        <v>61</v>
      </c>
    </row>
    <row r="374" spans="1:8" x14ac:dyDescent="0.2">
      <c r="A374" s="277">
        <v>232</v>
      </c>
      <c r="B374" s="275" t="s">
        <v>572</v>
      </c>
      <c r="C374" s="276" t="s">
        <v>573</v>
      </c>
      <c r="D374" s="276" t="s">
        <v>574</v>
      </c>
      <c r="E374" s="275" t="s">
        <v>114</v>
      </c>
      <c r="F374" s="275" t="s">
        <v>114</v>
      </c>
      <c r="G374" s="274">
        <v>88</v>
      </c>
      <c r="H374" s="273">
        <v>51</v>
      </c>
    </row>
    <row r="375" spans="1:8" x14ac:dyDescent="0.2">
      <c r="A375" s="277">
        <v>233</v>
      </c>
      <c r="B375" s="275" t="s">
        <v>572</v>
      </c>
      <c r="C375" s="276" t="s">
        <v>575</v>
      </c>
      <c r="D375" s="276" t="s">
        <v>576</v>
      </c>
      <c r="E375" s="275" t="s">
        <v>200</v>
      </c>
      <c r="F375" s="275" t="s">
        <v>210</v>
      </c>
      <c r="G375" s="274">
        <v>119</v>
      </c>
      <c r="H375" s="273">
        <v>61</v>
      </c>
    </row>
    <row r="376" spans="1:8" x14ac:dyDescent="0.2">
      <c r="A376" s="277">
        <v>233</v>
      </c>
      <c r="B376" s="275" t="s">
        <v>572</v>
      </c>
      <c r="C376" s="276" t="s">
        <v>575</v>
      </c>
      <c r="D376" s="276" t="s">
        <v>576</v>
      </c>
      <c r="E376" s="275" t="s">
        <v>211</v>
      </c>
      <c r="F376" s="275" t="s">
        <v>253</v>
      </c>
      <c r="G376" s="274">
        <v>99</v>
      </c>
      <c r="H376" s="273">
        <v>61</v>
      </c>
    </row>
    <row r="377" spans="1:8" x14ac:dyDescent="0.2">
      <c r="A377" s="277">
        <v>233</v>
      </c>
      <c r="B377" s="275" t="s">
        <v>572</v>
      </c>
      <c r="C377" s="276" t="s">
        <v>575</v>
      </c>
      <c r="D377" s="276" t="s">
        <v>576</v>
      </c>
      <c r="E377" s="275" t="s">
        <v>254</v>
      </c>
      <c r="F377" s="275" t="s">
        <v>226</v>
      </c>
      <c r="G377" s="274">
        <v>158</v>
      </c>
      <c r="H377" s="273">
        <v>61</v>
      </c>
    </row>
    <row r="378" spans="1:8" x14ac:dyDescent="0.2">
      <c r="A378" s="277">
        <v>233</v>
      </c>
      <c r="B378" s="275" t="s">
        <v>572</v>
      </c>
      <c r="C378" s="276" t="s">
        <v>575</v>
      </c>
      <c r="D378" s="276" t="s">
        <v>576</v>
      </c>
      <c r="E378" s="275" t="s">
        <v>227</v>
      </c>
      <c r="F378" s="275" t="s">
        <v>205</v>
      </c>
      <c r="G378" s="274">
        <v>119</v>
      </c>
      <c r="H378" s="273">
        <v>61</v>
      </c>
    </row>
    <row r="379" spans="1:8" x14ac:dyDescent="0.2">
      <c r="A379" s="277">
        <v>234</v>
      </c>
      <c r="B379" s="275" t="s">
        <v>572</v>
      </c>
      <c r="C379" s="276" t="s">
        <v>554</v>
      </c>
      <c r="D379" s="276" t="s">
        <v>577</v>
      </c>
      <c r="E379" s="275" t="s">
        <v>114</v>
      </c>
      <c r="F379" s="275" t="s">
        <v>114</v>
      </c>
      <c r="G379" s="274">
        <v>97</v>
      </c>
      <c r="H379" s="273">
        <v>46</v>
      </c>
    </row>
    <row r="380" spans="1:8" x14ac:dyDescent="0.2">
      <c r="A380" s="277">
        <v>235</v>
      </c>
      <c r="B380" s="275" t="s">
        <v>572</v>
      </c>
      <c r="C380" s="276" t="s">
        <v>578</v>
      </c>
      <c r="D380" s="276" t="s">
        <v>579</v>
      </c>
      <c r="E380" s="275" t="s">
        <v>200</v>
      </c>
      <c r="F380" s="275" t="s">
        <v>220</v>
      </c>
      <c r="G380" s="274">
        <v>112</v>
      </c>
      <c r="H380" s="273">
        <v>51</v>
      </c>
    </row>
    <row r="381" spans="1:8" x14ac:dyDescent="0.2">
      <c r="A381" s="277">
        <v>235</v>
      </c>
      <c r="B381" s="275" t="s">
        <v>572</v>
      </c>
      <c r="C381" s="276" t="s">
        <v>578</v>
      </c>
      <c r="D381" s="276" t="s">
        <v>579</v>
      </c>
      <c r="E381" s="275" t="s">
        <v>221</v>
      </c>
      <c r="F381" s="275" t="s">
        <v>201</v>
      </c>
      <c r="G381" s="274">
        <v>84</v>
      </c>
      <c r="H381" s="273">
        <v>51</v>
      </c>
    </row>
    <row r="382" spans="1:8" x14ac:dyDescent="0.2">
      <c r="A382" s="277">
        <v>235</v>
      </c>
      <c r="B382" s="275" t="s">
        <v>572</v>
      </c>
      <c r="C382" s="276" t="s">
        <v>578</v>
      </c>
      <c r="D382" s="276" t="s">
        <v>579</v>
      </c>
      <c r="E382" s="275" t="s">
        <v>202</v>
      </c>
      <c r="F382" s="275" t="s">
        <v>205</v>
      </c>
      <c r="G382" s="274">
        <v>112</v>
      </c>
      <c r="H382" s="273">
        <v>51</v>
      </c>
    </row>
    <row r="383" spans="1:8" x14ac:dyDescent="0.2">
      <c r="A383" s="277">
        <v>236</v>
      </c>
      <c r="B383" s="275" t="s">
        <v>572</v>
      </c>
      <c r="C383" s="276" t="s">
        <v>580</v>
      </c>
      <c r="D383" s="276" t="s">
        <v>581</v>
      </c>
      <c r="E383" s="275" t="s">
        <v>114</v>
      </c>
      <c r="F383" s="275" t="s">
        <v>114</v>
      </c>
      <c r="G383" s="274">
        <v>115</v>
      </c>
      <c r="H383" s="273">
        <v>56</v>
      </c>
    </row>
    <row r="384" spans="1:8" x14ac:dyDescent="0.2">
      <c r="A384" s="277">
        <v>237</v>
      </c>
      <c r="B384" s="275" t="s">
        <v>572</v>
      </c>
      <c r="C384" s="276" t="s">
        <v>582</v>
      </c>
      <c r="D384" s="276" t="s">
        <v>583</v>
      </c>
      <c r="E384" s="275" t="s">
        <v>114</v>
      </c>
      <c r="F384" s="275" t="s">
        <v>114</v>
      </c>
      <c r="G384" s="274">
        <v>92</v>
      </c>
      <c r="H384" s="273">
        <v>56</v>
      </c>
    </row>
    <row r="385" spans="1:8" x14ac:dyDescent="0.2">
      <c r="A385" s="277">
        <v>238</v>
      </c>
      <c r="B385" s="275" t="s">
        <v>572</v>
      </c>
      <c r="C385" s="276" t="s">
        <v>584</v>
      </c>
      <c r="D385" s="276" t="s">
        <v>585</v>
      </c>
      <c r="E385" s="275" t="s">
        <v>200</v>
      </c>
      <c r="F385" s="275" t="s">
        <v>253</v>
      </c>
      <c r="G385" s="274">
        <v>106</v>
      </c>
      <c r="H385" s="273">
        <v>61</v>
      </c>
    </row>
    <row r="386" spans="1:8" x14ac:dyDescent="0.2">
      <c r="A386" s="277">
        <v>238</v>
      </c>
      <c r="B386" s="275" t="s">
        <v>572</v>
      </c>
      <c r="C386" s="276" t="s">
        <v>584</v>
      </c>
      <c r="D386" s="276" t="s">
        <v>585</v>
      </c>
      <c r="E386" s="275" t="s">
        <v>254</v>
      </c>
      <c r="F386" s="275" t="s">
        <v>226</v>
      </c>
      <c r="G386" s="274">
        <v>140</v>
      </c>
      <c r="H386" s="273">
        <v>61</v>
      </c>
    </row>
    <row r="387" spans="1:8" x14ac:dyDescent="0.2">
      <c r="A387" s="277">
        <v>238</v>
      </c>
      <c r="B387" s="275" t="s">
        <v>572</v>
      </c>
      <c r="C387" s="276" t="s">
        <v>584</v>
      </c>
      <c r="D387" s="276" t="s">
        <v>585</v>
      </c>
      <c r="E387" s="275" t="s">
        <v>227</v>
      </c>
      <c r="F387" s="275" t="s">
        <v>205</v>
      </c>
      <c r="G387" s="274">
        <v>106</v>
      </c>
      <c r="H387" s="273">
        <v>61</v>
      </c>
    </row>
    <row r="388" spans="1:8" ht="25.5" x14ac:dyDescent="0.2">
      <c r="A388" s="277">
        <v>239</v>
      </c>
      <c r="B388" s="275" t="s">
        <v>586</v>
      </c>
      <c r="C388" s="276" t="s">
        <v>587</v>
      </c>
      <c r="D388" s="276" t="s">
        <v>1064</v>
      </c>
      <c r="E388" s="275" t="s">
        <v>114</v>
      </c>
      <c r="F388" s="275" t="s">
        <v>114</v>
      </c>
      <c r="G388" s="274">
        <v>94</v>
      </c>
      <c r="H388" s="273">
        <v>66</v>
      </c>
    </row>
    <row r="389" spans="1:8" x14ac:dyDescent="0.2">
      <c r="A389" s="277">
        <v>248</v>
      </c>
      <c r="B389" s="275" t="s">
        <v>586</v>
      </c>
      <c r="C389" s="276" t="s">
        <v>588</v>
      </c>
      <c r="D389" s="276" t="s">
        <v>589</v>
      </c>
      <c r="E389" s="275" t="s">
        <v>114</v>
      </c>
      <c r="F389" s="275" t="s">
        <v>114</v>
      </c>
      <c r="G389" s="274">
        <v>135</v>
      </c>
      <c r="H389" s="273">
        <v>56</v>
      </c>
    </row>
    <row r="390" spans="1:8" x14ac:dyDescent="0.2">
      <c r="A390" s="277">
        <v>241</v>
      </c>
      <c r="B390" s="275" t="s">
        <v>586</v>
      </c>
      <c r="C390" s="276" t="s">
        <v>590</v>
      </c>
      <c r="D390" s="276" t="s">
        <v>1063</v>
      </c>
      <c r="E390" s="275" t="s">
        <v>114</v>
      </c>
      <c r="F390" s="275" t="s">
        <v>114</v>
      </c>
      <c r="G390" s="274">
        <v>97</v>
      </c>
      <c r="H390" s="273">
        <v>61</v>
      </c>
    </row>
    <row r="391" spans="1:8" x14ac:dyDescent="0.2">
      <c r="A391" s="277">
        <v>242</v>
      </c>
      <c r="B391" s="275" t="s">
        <v>586</v>
      </c>
      <c r="C391" s="276" t="s">
        <v>591</v>
      </c>
      <c r="D391" s="276" t="s">
        <v>592</v>
      </c>
      <c r="E391" s="275" t="s">
        <v>114</v>
      </c>
      <c r="F391" s="275" t="s">
        <v>114</v>
      </c>
      <c r="G391" s="274">
        <v>103</v>
      </c>
      <c r="H391" s="273">
        <v>56</v>
      </c>
    </row>
    <row r="392" spans="1:8" x14ac:dyDescent="0.2">
      <c r="A392" s="277">
        <v>243</v>
      </c>
      <c r="B392" s="275" t="s">
        <v>586</v>
      </c>
      <c r="C392" s="276" t="s">
        <v>593</v>
      </c>
      <c r="D392" s="276" t="s">
        <v>594</v>
      </c>
      <c r="E392" s="275" t="s">
        <v>114</v>
      </c>
      <c r="F392" s="275" t="s">
        <v>114</v>
      </c>
      <c r="G392" s="274">
        <v>109</v>
      </c>
      <c r="H392" s="273">
        <v>51</v>
      </c>
    </row>
    <row r="393" spans="1:8" x14ac:dyDescent="0.2">
      <c r="A393" s="277">
        <v>244</v>
      </c>
      <c r="B393" s="275" t="s">
        <v>586</v>
      </c>
      <c r="C393" s="276" t="s">
        <v>595</v>
      </c>
      <c r="D393" s="276" t="s">
        <v>596</v>
      </c>
      <c r="E393" s="275" t="s">
        <v>114</v>
      </c>
      <c r="F393" s="275" t="s">
        <v>114</v>
      </c>
      <c r="G393" s="274">
        <v>114</v>
      </c>
      <c r="H393" s="273">
        <v>61</v>
      </c>
    </row>
    <row r="394" spans="1:8" x14ac:dyDescent="0.2">
      <c r="A394" s="277">
        <v>246</v>
      </c>
      <c r="B394" s="275" t="s">
        <v>586</v>
      </c>
      <c r="C394" s="276" t="s">
        <v>597</v>
      </c>
      <c r="D394" s="276" t="s">
        <v>1062</v>
      </c>
      <c r="E394" s="275" t="s">
        <v>114</v>
      </c>
      <c r="F394" s="275" t="s">
        <v>114</v>
      </c>
      <c r="G394" s="274">
        <v>134</v>
      </c>
      <c r="H394" s="273">
        <v>61</v>
      </c>
    </row>
    <row r="395" spans="1:8" x14ac:dyDescent="0.2">
      <c r="A395" s="277">
        <v>247</v>
      </c>
      <c r="B395" s="275" t="s">
        <v>586</v>
      </c>
      <c r="C395" s="276" t="s">
        <v>598</v>
      </c>
      <c r="D395" s="276" t="s">
        <v>599</v>
      </c>
      <c r="E395" s="275" t="s">
        <v>114</v>
      </c>
      <c r="F395" s="275" t="s">
        <v>114</v>
      </c>
      <c r="G395" s="274">
        <v>136</v>
      </c>
      <c r="H395" s="273">
        <v>56</v>
      </c>
    </row>
    <row r="396" spans="1:8" x14ac:dyDescent="0.2">
      <c r="A396" s="277">
        <v>249</v>
      </c>
      <c r="B396" s="275" t="s">
        <v>586</v>
      </c>
      <c r="C396" s="276" t="s">
        <v>600</v>
      </c>
      <c r="D396" s="276" t="s">
        <v>601</v>
      </c>
      <c r="E396" s="275" t="s">
        <v>114</v>
      </c>
      <c r="F396" s="275" t="s">
        <v>114</v>
      </c>
      <c r="G396" s="274">
        <v>127</v>
      </c>
      <c r="H396" s="273">
        <v>61</v>
      </c>
    </row>
    <row r="397" spans="1:8" ht="25.5" x14ac:dyDescent="0.2">
      <c r="A397" s="277">
        <v>250</v>
      </c>
      <c r="B397" s="275" t="s">
        <v>586</v>
      </c>
      <c r="C397" s="276" t="s">
        <v>602</v>
      </c>
      <c r="D397" s="276" t="s">
        <v>603</v>
      </c>
      <c r="E397" s="275" t="s">
        <v>114</v>
      </c>
      <c r="F397" s="275" t="s">
        <v>114</v>
      </c>
      <c r="G397" s="274">
        <v>115</v>
      </c>
      <c r="H397" s="273">
        <v>56</v>
      </c>
    </row>
    <row r="398" spans="1:8" x14ac:dyDescent="0.2">
      <c r="A398" s="277">
        <v>251</v>
      </c>
      <c r="B398" s="275" t="s">
        <v>586</v>
      </c>
      <c r="C398" s="276" t="s">
        <v>604</v>
      </c>
      <c r="D398" s="276" t="s">
        <v>605</v>
      </c>
      <c r="E398" s="275" t="s">
        <v>200</v>
      </c>
      <c r="F398" s="275" t="s">
        <v>201</v>
      </c>
      <c r="G398" s="274">
        <v>83</v>
      </c>
      <c r="H398" s="273">
        <v>51</v>
      </c>
    </row>
    <row r="399" spans="1:8" x14ac:dyDescent="0.2">
      <c r="A399" s="277">
        <v>251</v>
      </c>
      <c r="B399" s="275" t="s">
        <v>586</v>
      </c>
      <c r="C399" s="276" t="s">
        <v>604</v>
      </c>
      <c r="D399" s="276" t="s">
        <v>605</v>
      </c>
      <c r="E399" s="275" t="s">
        <v>202</v>
      </c>
      <c r="F399" s="275" t="s">
        <v>226</v>
      </c>
      <c r="G399" s="274">
        <v>93</v>
      </c>
      <c r="H399" s="273">
        <v>51</v>
      </c>
    </row>
    <row r="400" spans="1:8" x14ac:dyDescent="0.2">
      <c r="A400" s="277">
        <v>251</v>
      </c>
      <c r="B400" s="275" t="s">
        <v>586</v>
      </c>
      <c r="C400" s="276" t="s">
        <v>604</v>
      </c>
      <c r="D400" s="276" t="s">
        <v>605</v>
      </c>
      <c r="E400" s="275" t="s">
        <v>227</v>
      </c>
      <c r="F400" s="275" t="s">
        <v>205</v>
      </c>
      <c r="G400" s="274">
        <v>83</v>
      </c>
      <c r="H400" s="273">
        <v>51</v>
      </c>
    </row>
    <row r="401" spans="1:8" x14ac:dyDescent="0.2">
      <c r="A401" s="277">
        <v>479</v>
      </c>
      <c r="B401" s="275" t="s">
        <v>606</v>
      </c>
      <c r="C401" s="276" t="s">
        <v>607</v>
      </c>
      <c r="D401" s="276" t="s">
        <v>608</v>
      </c>
      <c r="E401" s="275" t="s">
        <v>200</v>
      </c>
      <c r="F401" s="275" t="s">
        <v>258</v>
      </c>
      <c r="G401" s="274">
        <v>127</v>
      </c>
      <c r="H401" s="273">
        <v>51</v>
      </c>
    </row>
    <row r="402" spans="1:8" x14ac:dyDescent="0.2">
      <c r="A402" s="277">
        <v>479</v>
      </c>
      <c r="B402" s="275" t="s">
        <v>606</v>
      </c>
      <c r="C402" s="276" t="s">
        <v>607</v>
      </c>
      <c r="D402" s="276" t="s">
        <v>608</v>
      </c>
      <c r="E402" s="275" t="s">
        <v>259</v>
      </c>
      <c r="F402" s="275" t="s">
        <v>253</v>
      </c>
      <c r="G402" s="274">
        <v>120</v>
      </c>
      <c r="H402" s="273">
        <v>51</v>
      </c>
    </row>
    <row r="403" spans="1:8" x14ac:dyDescent="0.2">
      <c r="A403" s="277">
        <v>479</v>
      </c>
      <c r="B403" s="275" t="s">
        <v>606</v>
      </c>
      <c r="C403" s="276" t="s">
        <v>607</v>
      </c>
      <c r="D403" s="276" t="s">
        <v>608</v>
      </c>
      <c r="E403" s="275" t="s">
        <v>254</v>
      </c>
      <c r="F403" s="275" t="s">
        <v>205</v>
      </c>
      <c r="G403" s="274">
        <v>127</v>
      </c>
      <c r="H403" s="273">
        <v>51</v>
      </c>
    </row>
    <row r="404" spans="1:8" x14ac:dyDescent="0.2">
      <c r="A404" s="277">
        <v>472</v>
      </c>
      <c r="B404" s="275" t="s">
        <v>606</v>
      </c>
      <c r="C404" s="276" t="s">
        <v>609</v>
      </c>
      <c r="D404" s="276" t="s">
        <v>610</v>
      </c>
      <c r="E404" s="275" t="s">
        <v>114</v>
      </c>
      <c r="F404" s="275" t="s">
        <v>114</v>
      </c>
      <c r="G404" s="274">
        <v>91</v>
      </c>
      <c r="H404" s="273">
        <v>56</v>
      </c>
    </row>
    <row r="405" spans="1:8" x14ac:dyDescent="0.2">
      <c r="A405" s="277">
        <v>253</v>
      </c>
      <c r="B405" s="275" t="s">
        <v>606</v>
      </c>
      <c r="C405" s="276" t="s">
        <v>611</v>
      </c>
      <c r="D405" s="276" t="s">
        <v>612</v>
      </c>
      <c r="E405" s="275" t="s">
        <v>114</v>
      </c>
      <c r="F405" s="275" t="s">
        <v>114</v>
      </c>
      <c r="G405" s="274">
        <v>86</v>
      </c>
      <c r="H405" s="273">
        <v>51</v>
      </c>
    </row>
    <row r="406" spans="1:8" x14ac:dyDescent="0.2">
      <c r="A406" s="277">
        <v>254</v>
      </c>
      <c r="B406" s="275" t="s">
        <v>606</v>
      </c>
      <c r="C406" s="276" t="s">
        <v>613</v>
      </c>
      <c r="D406" s="276" t="s">
        <v>613</v>
      </c>
      <c r="E406" s="275" t="s">
        <v>114</v>
      </c>
      <c r="F406" s="275" t="s">
        <v>114</v>
      </c>
      <c r="G406" s="274">
        <v>94</v>
      </c>
      <c r="H406" s="273">
        <v>71</v>
      </c>
    </row>
    <row r="407" spans="1:8" x14ac:dyDescent="0.2">
      <c r="A407" s="277">
        <v>423</v>
      </c>
      <c r="B407" s="275" t="s">
        <v>606</v>
      </c>
      <c r="C407" s="276" t="s">
        <v>614</v>
      </c>
      <c r="D407" s="276" t="s">
        <v>614</v>
      </c>
      <c r="E407" s="275" t="s">
        <v>114</v>
      </c>
      <c r="F407" s="275" t="s">
        <v>114</v>
      </c>
      <c r="G407" s="274">
        <v>92</v>
      </c>
      <c r="H407" s="273">
        <v>66</v>
      </c>
    </row>
    <row r="408" spans="1:8" x14ac:dyDescent="0.2">
      <c r="A408" s="277">
        <v>255</v>
      </c>
      <c r="B408" s="275" t="s">
        <v>615</v>
      </c>
      <c r="C408" s="276" t="s">
        <v>616</v>
      </c>
      <c r="D408" s="276" t="s">
        <v>617</v>
      </c>
      <c r="E408" s="275" t="s">
        <v>200</v>
      </c>
      <c r="F408" s="275" t="s">
        <v>253</v>
      </c>
      <c r="G408" s="274">
        <v>95</v>
      </c>
      <c r="H408" s="273">
        <v>51</v>
      </c>
    </row>
    <row r="409" spans="1:8" x14ac:dyDescent="0.2">
      <c r="A409" s="277">
        <v>255</v>
      </c>
      <c r="B409" s="275" t="s">
        <v>615</v>
      </c>
      <c r="C409" s="276" t="s">
        <v>616</v>
      </c>
      <c r="D409" s="276" t="s">
        <v>617</v>
      </c>
      <c r="E409" s="275" t="s">
        <v>254</v>
      </c>
      <c r="F409" s="275" t="s">
        <v>226</v>
      </c>
      <c r="G409" s="274">
        <v>130</v>
      </c>
      <c r="H409" s="273">
        <v>51</v>
      </c>
    </row>
    <row r="410" spans="1:8" x14ac:dyDescent="0.2">
      <c r="A410" s="277">
        <v>255</v>
      </c>
      <c r="B410" s="275" t="s">
        <v>615</v>
      </c>
      <c r="C410" s="276" t="s">
        <v>616</v>
      </c>
      <c r="D410" s="276" t="s">
        <v>617</v>
      </c>
      <c r="E410" s="275" t="s">
        <v>227</v>
      </c>
      <c r="F410" s="275" t="s">
        <v>205</v>
      </c>
      <c r="G410" s="274">
        <v>95</v>
      </c>
      <c r="H410" s="273">
        <v>51</v>
      </c>
    </row>
    <row r="411" spans="1:8" x14ac:dyDescent="0.2">
      <c r="A411" s="277">
        <v>256</v>
      </c>
      <c r="B411" s="275" t="s">
        <v>615</v>
      </c>
      <c r="C411" s="276" t="s">
        <v>618</v>
      </c>
      <c r="D411" s="276" t="s">
        <v>619</v>
      </c>
      <c r="E411" s="275" t="s">
        <v>114</v>
      </c>
      <c r="F411" s="275" t="s">
        <v>114</v>
      </c>
      <c r="G411" s="274">
        <v>96</v>
      </c>
      <c r="H411" s="273">
        <v>71</v>
      </c>
    </row>
    <row r="412" spans="1:8" x14ac:dyDescent="0.2">
      <c r="A412" s="277">
        <v>257</v>
      </c>
      <c r="B412" s="275" t="s">
        <v>615</v>
      </c>
      <c r="C412" s="276" t="s">
        <v>1061</v>
      </c>
      <c r="D412" s="276" t="s">
        <v>1060</v>
      </c>
      <c r="E412" s="275" t="s">
        <v>114</v>
      </c>
      <c r="F412" s="275" t="s">
        <v>114</v>
      </c>
      <c r="G412" s="274">
        <v>87</v>
      </c>
      <c r="H412" s="273">
        <v>61</v>
      </c>
    </row>
    <row r="413" spans="1:8" x14ac:dyDescent="0.2">
      <c r="A413" s="277">
        <v>258</v>
      </c>
      <c r="B413" s="275" t="s">
        <v>113</v>
      </c>
      <c r="C413" s="276" t="s">
        <v>620</v>
      </c>
      <c r="D413" s="276" t="s">
        <v>620</v>
      </c>
      <c r="E413" s="275" t="s">
        <v>114</v>
      </c>
      <c r="F413" s="275" t="s">
        <v>114</v>
      </c>
      <c r="G413" s="274">
        <v>111</v>
      </c>
      <c r="H413" s="273">
        <v>61</v>
      </c>
    </row>
    <row r="414" spans="1:8" x14ac:dyDescent="0.2">
      <c r="A414" s="277">
        <v>269</v>
      </c>
      <c r="B414" s="275" t="s">
        <v>113</v>
      </c>
      <c r="C414" s="276" t="s">
        <v>621</v>
      </c>
      <c r="D414" s="276" t="s">
        <v>1059</v>
      </c>
      <c r="E414" s="275" t="s">
        <v>114</v>
      </c>
      <c r="F414" s="275" t="s">
        <v>114</v>
      </c>
      <c r="G414" s="274">
        <v>97</v>
      </c>
      <c r="H414" s="273">
        <v>46</v>
      </c>
    </row>
    <row r="415" spans="1:8" x14ac:dyDescent="0.2">
      <c r="A415" s="277">
        <v>260</v>
      </c>
      <c r="B415" s="275" t="s">
        <v>113</v>
      </c>
      <c r="C415" s="276" t="s">
        <v>622</v>
      </c>
      <c r="D415" s="276" t="s">
        <v>623</v>
      </c>
      <c r="E415" s="275" t="s">
        <v>114</v>
      </c>
      <c r="F415" s="275" t="s">
        <v>114</v>
      </c>
      <c r="G415" s="274">
        <v>108</v>
      </c>
      <c r="H415" s="273">
        <v>56</v>
      </c>
    </row>
    <row r="416" spans="1:8" ht="25.5" x14ac:dyDescent="0.2">
      <c r="A416" s="277">
        <v>261</v>
      </c>
      <c r="B416" s="275" t="s">
        <v>113</v>
      </c>
      <c r="C416" s="276" t="s">
        <v>624</v>
      </c>
      <c r="D416" s="276" t="s">
        <v>625</v>
      </c>
      <c r="E416" s="275" t="s">
        <v>114</v>
      </c>
      <c r="F416" s="275" t="s">
        <v>114</v>
      </c>
      <c r="G416" s="274">
        <v>149</v>
      </c>
      <c r="H416" s="273">
        <v>66</v>
      </c>
    </row>
    <row r="417" spans="1:8" x14ac:dyDescent="0.2">
      <c r="A417" s="277">
        <v>262</v>
      </c>
      <c r="B417" s="275" t="s">
        <v>113</v>
      </c>
      <c r="C417" s="276" t="s">
        <v>626</v>
      </c>
      <c r="D417" s="276" t="s">
        <v>627</v>
      </c>
      <c r="E417" s="275" t="s">
        <v>200</v>
      </c>
      <c r="F417" s="275" t="s">
        <v>253</v>
      </c>
      <c r="G417" s="274">
        <v>101</v>
      </c>
      <c r="H417" s="273">
        <v>66</v>
      </c>
    </row>
    <row r="418" spans="1:8" x14ac:dyDescent="0.2">
      <c r="A418" s="277">
        <v>262</v>
      </c>
      <c r="B418" s="275" t="s">
        <v>113</v>
      </c>
      <c r="C418" s="276" t="s">
        <v>626</v>
      </c>
      <c r="D418" s="276" t="s">
        <v>627</v>
      </c>
      <c r="E418" s="275" t="s">
        <v>254</v>
      </c>
      <c r="F418" s="275" t="s">
        <v>226</v>
      </c>
      <c r="G418" s="274">
        <v>159</v>
      </c>
      <c r="H418" s="273">
        <v>66</v>
      </c>
    </row>
    <row r="419" spans="1:8" x14ac:dyDescent="0.2">
      <c r="A419" s="277">
        <v>262</v>
      </c>
      <c r="B419" s="275" t="s">
        <v>113</v>
      </c>
      <c r="C419" s="276" t="s">
        <v>626</v>
      </c>
      <c r="D419" s="276" t="s">
        <v>627</v>
      </c>
      <c r="E419" s="275" t="s">
        <v>227</v>
      </c>
      <c r="F419" s="275" t="s">
        <v>205</v>
      </c>
      <c r="G419" s="274">
        <v>101</v>
      </c>
      <c r="H419" s="273">
        <v>66</v>
      </c>
    </row>
    <row r="420" spans="1:8" x14ac:dyDescent="0.2">
      <c r="A420" s="277">
        <v>277</v>
      </c>
      <c r="B420" s="275" t="s">
        <v>113</v>
      </c>
      <c r="C420" s="276" t="s">
        <v>628</v>
      </c>
      <c r="D420" s="276" t="s">
        <v>1058</v>
      </c>
      <c r="E420" s="275" t="s">
        <v>114</v>
      </c>
      <c r="F420" s="275" t="s">
        <v>114</v>
      </c>
      <c r="G420" s="274">
        <v>115</v>
      </c>
      <c r="H420" s="273">
        <v>46</v>
      </c>
    </row>
    <row r="421" spans="1:8" x14ac:dyDescent="0.2">
      <c r="A421" s="277">
        <v>264</v>
      </c>
      <c r="B421" s="275" t="s">
        <v>113</v>
      </c>
      <c r="C421" s="276" t="s">
        <v>629</v>
      </c>
      <c r="D421" s="276" t="s">
        <v>630</v>
      </c>
      <c r="E421" s="275" t="s">
        <v>114</v>
      </c>
      <c r="F421" s="275" t="s">
        <v>114</v>
      </c>
      <c r="G421" s="274">
        <v>112</v>
      </c>
      <c r="H421" s="273">
        <v>66</v>
      </c>
    </row>
    <row r="422" spans="1:8" x14ac:dyDescent="0.2">
      <c r="A422" s="277">
        <v>265</v>
      </c>
      <c r="B422" s="275" t="s">
        <v>113</v>
      </c>
      <c r="C422" s="276" t="s">
        <v>631</v>
      </c>
      <c r="D422" s="276" t="s">
        <v>448</v>
      </c>
      <c r="E422" s="275" t="s">
        <v>200</v>
      </c>
      <c r="F422" s="275" t="s">
        <v>256</v>
      </c>
      <c r="G422" s="274">
        <v>117</v>
      </c>
      <c r="H422" s="273">
        <v>61</v>
      </c>
    </row>
    <row r="423" spans="1:8" x14ac:dyDescent="0.2">
      <c r="A423" s="277">
        <v>265</v>
      </c>
      <c r="B423" s="275" t="s">
        <v>113</v>
      </c>
      <c r="C423" s="276" t="s">
        <v>631</v>
      </c>
      <c r="D423" s="276" t="s">
        <v>448</v>
      </c>
      <c r="E423" s="275" t="s">
        <v>257</v>
      </c>
      <c r="F423" s="275" t="s">
        <v>210</v>
      </c>
      <c r="G423" s="274">
        <v>129</v>
      </c>
      <c r="H423" s="273">
        <v>61</v>
      </c>
    </row>
    <row r="424" spans="1:8" x14ac:dyDescent="0.2">
      <c r="A424" s="277">
        <v>265</v>
      </c>
      <c r="B424" s="275" t="s">
        <v>113</v>
      </c>
      <c r="C424" s="276" t="s">
        <v>631</v>
      </c>
      <c r="D424" s="276" t="s">
        <v>448</v>
      </c>
      <c r="E424" s="275" t="s">
        <v>211</v>
      </c>
      <c r="F424" s="275" t="s">
        <v>253</v>
      </c>
      <c r="G424" s="274">
        <v>105</v>
      </c>
      <c r="H424" s="273">
        <v>61</v>
      </c>
    </row>
    <row r="425" spans="1:8" x14ac:dyDescent="0.2">
      <c r="A425" s="277">
        <v>265</v>
      </c>
      <c r="B425" s="275" t="s">
        <v>113</v>
      </c>
      <c r="C425" s="276" t="s">
        <v>631</v>
      </c>
      <c r="D425" s="276" t="s">
        <v>448</v>
      </c>
      <c r="E425" s="275" t="s">
        <v>254</v>
      </c>
      <c r="F425" s="275" t="s">
        <v>226</v>
      </c>
      <c r="G425" s="274">
        <v>166</v>
      </c>
      <c r="H425" s="273">
        <v>61</v>
      </c>
    </row>
    <row r="426" spans="1:8" x14ac:dyDescent="0.2">
      <c r="A426" s="277">
        <v>265</v>
      </c>
      <c r="B426" s="275" t="s">
        <v>113</v>
      </c>
      <c r="C426" s="276" t="s">
        <v>631</v>
      </c>
      <c r="D426" s="276" t="s">
        <v>448</v>
      </c>
      <c r="E426" s="275" t="s">
        <v>227</v>
      </c>
      <c r="F426" s="275" t="s">
        <v>205</v>
      </c>
      <c r="G426" s="274">
        <v>117</v>
      </c>
      <c r="H426" s="273">
        <v>61</v>
      </c>
    </row>
    <row r="427" spans="1:8" ht="25.5" x14ac:dyDescent="0.2">
      <c r="A427" s="277">
        <v>266</v>
      </c>
      <c r="B427" s="275" t="s">
        <v>113</v>
      </c>
      <c r="C427" s="276" t="s">
        <v>1057</v>
      </c>
      <c r="D427" s="276" t="s">
        <v>1056</v>
      </c>
      <c r="E427" s="275" t="s">
        <v>200</v>
      </c>
      <c r="F427" s="275" t="s">
        <v>208</v>
      </c>
      <c r="G427" s="274">
        <v>304</v>
      </c>
      <c r="H427" s="273">
        <v>71</v>
      </c>
    </row>
    <row r="428" spans="1:8" ht="25.5" x14ac:dyDescent="0.2">
      <c r="A428" s="277">
        <v>266</v>
      </c>
      <c r="B428" s="275" t="s">
        <v>113</v>
      </c>
      <c r="C428" s="276" t="s">
        <v>1057</v>
      </c>
      <c r="D428" s="276" t="s">
        <v>1056</v>
      </c>
      <c r="E428" s="275" t="s">
        <v>209</v>
      </c>
      <c r="F428" s="275" t="s">
        <v>210</v>
      </c>
      <c r="G428" s="274">
        <v>197</v>
      </c>
      <c r="H428" s="273">
        <v>71</v>
      </c>
    </row>
    <row r="429" spans="1:8" ht="25.5" x14ac:dyDescent="0.2">
      <c r="A429" s="277">
        <v>266</v>
      </c>
      <c r="B429" s="275" t="s">
        <v>113</v>
      </c>
      <c r="C429" s="276" t="s">
        <v>1057</v>
      </c>
      <c r="D429" s="276" t="s">
        <v>1056</v>
      </c>
      <c r="E429" s="275" t="s">
        <v>211</v>
      </c>
      <c r="F429" s="275" t="s">
        <v>253</v>
      </c>
      <c r="G429" s="274">
        <v>268</v>
      </c>
      <c r="H429" s="273">
        <v>71</v>
      </c>
    </row>
    <row r="430" spans="1:8" ht="25.5" x14ac:dyDescent="0.2">
      <c r="A430" s="277">
        <v>266</v>
      </c>
      <c r="B430" s="275" t="s">
        <v>113</v>
      </c>
      <c r="C430" s="276" t="s">
        <v>1057</v>
      </c>
      <c r="D430" s="276" t="s">
        <v>1056</v>
      </c>
      <c r="E430" s="275" t="s">
        <v>254</v>
      </c>
      <c r="F430" s="275" t="s">
        <v>226</v>
      </c>
      <c r="G430" s="274">
        <v>235</v>
      </c>
      <c r="H430" s="273">
        <v>71</v>
      </c>
    </row>
    <row r="431" spans="1:8" ht="25.5" x14ac:dyDescent="0.2">
      <c r="A431" s="277">
        <v>266</v>
      </c>
      <c r="B431" s="275" t="s">
        <v>113</v>
      </c>
      <c r="C431" s="276" t="s">
        <v>1057</v>
      </c>
      <c r="D431" s="276" t="s">
        <v>1056</v>
      </c>
      <c r="E431" s="275" t="s">
        <v>227</v>
      </c>
      <c r="F431" s="275" t="s">
        <v>205</v>
      </c>
      <c r="G431" s="274">
        <v>304</v>
      </c>
      <c r="H431" s="273">
        <v>71</v>
      </c>
    </row>
    <row r="432" spans="1:8" x14ac:dyDescent="0.2">
      <c r="A432" s="277">
        <v>267</v>
      </c>
      <c r="B432" s="275" t="s">
        <v>113</v>
      </c>
      <c r="C432" s="276" t="s">
        <v>632</v>
      </c>
      <c r="D432" s="276" t="s">
        <v>633</v>
      </c>
      <c r="E432" s="275" t="s">
        <v>200</v>
      </c>
      <c r="F432" s="275" t="s">
        <v>253</v>
      </c>
      <c r="G432" s="274">
        <v>83</v>
      </c>
      <c r="H432" s="273">
        <v>51</v>
      </c>
    </row>
    <row r="433" spans="1:8" x14ac:dyDescent="0.2">
      <c r="A433" s="277">
        <v>267</v>
      </c>
      <c r="B433" s="275" t="s">
        <v>113</v>
      </c>
      <c r="C433" s="276" t="s">
        <v>632</v>
      </c>
      <c r="D433" s="276" t="s">
        <v>633</v>
      </c>
      <c r="E433" s="275" t="s">
        <v>254</v>
      </c>
      <c r="F433" s="275" t="s">
        <v>226</v>
      </c>
      <c r="G433" s="274">
        <v>108</v>
      </c>
      <c r="H433" s="273">
        <v>51</v>
      </c>
    </row>
    <row r="434" spans="1:8" x14ac:dyDescent="0.2">
      <c r="A434" s="277">
        <v>267</v>
      </c>
      <c r="B434" s="275" t="s">
        <v>113</v>
      </c>
      <c r="C434" s="276" t="s">
        <v>632</v>
      </c>
      <c r="D434" s="276" t="s">
        <v>633</v>
      </c>
      <c r="E434" s="275" t="s">
        <v>227</v>
      </c>
      <c r="F434" s="275" t="s">
        <v>205</v>
      </c>
      <c r="G434" s="274">
        <v>83</v>
      </c>
      <c r="H434" s="273">
        <v>51</v>
      </c>
    </row>
    <row r="435" spans="1:8" x14ac:dyDescent="0.2">
      <c r="A435" s="277">
        <v>268</v>
      </c>
      <c r="B435" s="275" t="s">
        <v>113</v>
      </c>
      <c r="C435" s="276" t="s">
        <v>634</v>
      </c>
      <c r="D435" s="276" t="s">
        <v>635</v>
      </c>
      <c r="E435" s="275" t="s">
        <v>114</v>
      </c>
      <c r="F435" s="275" t="s">
        <v>114</v>
      </c>
      <c r="G435" s="274">
        <v>110</v>
      </c>
      <c r="H435" s="273">
        <v>61</v>
      </c>
    </row>
    <row r="436" spans="1:8" x14ac:dyDescent="0.2">
      <c r="A436" s="277">
        <v>270</v>
      </c>
      <c r="B436" s="275" t="s">
        <v>113</v>
      </c>
      <c r="C436" s="276" t="s">
        <v>636</v>
      </c>
      <c r="D436" s="276" t="s">
        <v>637</v>
      </c>
      <c r="E436" s="275" t="s">
        <v>114</v>
      </c>
      <c r="F436" s="275" t="s">
        <v>114</v>
      </c>
      <c r="G436" s="274">
        <v>105</v>
      </c>
      <c r="H436" s="273">
        <v>66</v>
      </c>
    </row>
    <row r="437" spans="1:8" x14ac:dyDescent="0.2">
      <c r="A437" s="277">
        <v>271</v>
      </c>
      <c r="B437" s="275" t="s">
        <v>113</v>
      </c>
      <c r="C437" s="276" t="s">
        <v>638</v>
      </c>
      <c r="D437" s="276" t="s">
        <v>639</v>
      </c>
      <c r="E437" s="275" t="s">
        <v>114</v>
      </c>
      <c r="F437" s="275" t="s">
        <v>114</v>
      </c>
      <c r="G437" s="274">
        <v>121</v>
      </c>
      <c r="H437" s="273">
        <v>71</v>
      </c>
    </row>
    <row r="438" spans="1:8" x14ac:dyDescent="0.2">
      <c r="A438" s="277">
        <v>272</v>
      </c>
      <c r="B438" s="275" t="s">
        <v>113</v>
      </c>
      <c r="C438" s="276" t="s">
        <v>524</v>
      </c>
      <c r="D438" s="276" t="s">
        <v>359</v>
      </c>
      <c r="E438" s="275" t="s">
        <v>114</v>
      </c>
      <c r="F438" s="275" t="s">
        <v>114</v>
      </c>
      <c r="G438" s="274">
        <v>105</v>
      </c>
      <c r="H438" s="273">
        <v>51</v>
      </c>
    </row>
    <row r="439" spans="1:8" x14ac:dyDescent="0.2">
      <c r="A439" s="277">
        <v>273</v>
      </c>
      <c r="B439" s="275" t="s">
        <v>113</v>
      </c>
      <c r="C439" s="276" t="s">
        <v>640</v>
      </c>
      <c r="D439" s="276" t="s">
        <v>1055</v>
      </c>
      <c r="E439" s="275" t="s">
        <v>200</v>
      </c>
      <c r="F439" s="275" t="s">
        <v>253</v>
      </c>
      <c r="G439" s="274">
        <v>116</v>
      </c>
      <c r="H439" s="273">
        <v>56</v>
      </c>
    </row>
    <row r="440" spans="1:8" x14ac:dyDescent="0.2">
      <c r="A440" s="277">
        <v>273</v>
      </c>
      <c r="B440" s="275" t="s">
        <v>113</v>
      </c>
      <c r="C440" s="276" t="s">
        <v>640</v>
      </c>
      <c r="D440" s="276" t="s">
        <v>1055</v>
      </c>
      <c r="E440" s="275" t="s">
        <v>254</v>
      </c>
      <c r="F440" s="275" t="s">
        <v>226</v>
      </c>
      <c r="G440" s="274">
        <v>178</v>
      </c>
      <c r="H440" s="273">
        <v>56</v>
      </c>
    </row>
    <row r="441" spans="1:8" x14ac:dyDescent="0.2">
      <c r="A441" s="277">
        <v>273</v>
      </c>
      <c r="B441" s="275" t="s">
        <v>113</v>
      </c>
      <c r="C441" s="276" t="s">
        <v>640</v>
      </c>
      <c r="D441" s="276" t="s">
        <v>1055</v>
      </c>
      <c r="E441" s="275" t="s">
        <v>227</v>
      </c>
      <c r="F441" s="275" t="s">
        <v>205</v>
      </c>
      <c r="G441" s="274">
        <v>116</v>
      </c>
      <c r="H441" s="273">
        <v>56</v>
      </c>
    </row>
    <row r="442" spans="1:8" x14ac:dyDescent="0.2">
      <c r="A442" s="277">
        <v>274</v>
      </c>
      <c r="B442" s="275" t="s">
        <v>113</v>
      </c>
      <c r="C442" s="276" t="s">
        <v>641</v>
      </c>
      <c r="D442" s="276" t="s">
        <v>1054</v>
      </c>
      <c r="E442" s="275" t="s">
        <v>114</v>
      </c>
      <c r="F442" s="275" t="s">
        <v>114</v>
      </c>
      <c r="G442" s="274">
        <v>96</v>
      </c>
      <c r="H442" s="273">
        <v>56</v>
      </c>
    </row>
    <row r="443" spans="1:8" ht="25.5" x14ac:dyDescent="0.2">
      <c r="A443" s="277">
        <v>275</v>
      </c>
      <c r="B443" s="275" t="s">
        <v>113</v>
      </c>
      <c r="C443" s="276" t="s">
        <v>642</v>
      </c>
      <c r="D443" s="276" t="s">
        <v>643</v>
      </c>
      <c r="E443" s="275" t="s">
        <v>114</v>
      </c>
      <c r="F443" s="275" t="s">
        <v>114</v>
      </c>
      <c r="G443" s="274">
        <v>145</v>
      </c>
      <c r="H443" s="273">
        <v>71</v>
      </c>
    </row>
    <row r="444" spans="1:8" x14ac:dyDescent="0.2">
      <c r="A444" s="277">
        <v>276</v>
      </c>
      <c r="B444" s="275" t="s">
        <v>113</v>
      </c>
      <c r="C444" s="276" t="s">
        <v>644</v>
      </c>
      <c r="D444" s="276" t="s">
        <v>645</v>
      </c>
      <c r="E444" s="275" t="s">
        <v>114</v>
      </c>
      <c r="F444" s="275" t="s">
        <v>114</v>
      </c>
      <c r="G444" s="274">
        <v>102</v>
      </c>
      <c r="H444" s="273">
        <v>51</v>
      </c>
    </row>
    <row r="445" spans="1:8" x14ac:dyDescent="0.2">
      <c r="A445" s="277">
        <v>480</v>
      </c>
      <c r="B445" s="275" t="s">
        <v>113</v>
      </c>
      <c r="C445" s="276" t="s">
        <v>646</v>
      </c>
      <c r="D445" s="276" t="s">
        <v>437</v>
      </c>
      <c r="E445" s="275" t="s">
        <v>114</v>
      </c>
      <c r="F445" s="275" t="s">
        <v>114</v>
      </c>
      <c r="G445" s="274">
        <v>96</v>
      </c>
      <c r="H445" s="273">
        <v>56</v>
      </c>
    </row>
    <row r="446" spans="1:8" x14ac:dyDescent="0.2">
      <c r="A446" s="277">
        <v>278</v>
      </c>
      <c r="B446" s="275" t="s">
        <v>113</v>
      </c>
      <c r="C446" s="276" t="s">
        <v>647</v>
      </c>
      <c r="D446" s="276" t="s">
        <v>365</v>
      </c>
      <c r="E446" s="275" t="s">
        <v>114</v>
      </c>
      <c r="F446" s="275" t="s">
        <v>114</v>
      </c>
      <c r="G446" s="274">
        <v>106</v>
      </c>
      <c r="H446" s="273">
        <v>51</v>
      </c>
    </row>
    <row r="447" spans="1:8" x14ac:dyDescent="0.2">
      <c r="A447" s="277">
        <v>279</v>
      </c>
      <c r="B447" s="275" t="s">
        <v>648</v>
      </c>
      <c r="C447" s="276" t="s">
        <v>649</v>
      </c>
      <c r="D447" s="276" t="s">
        <v>315</v>
      </c>
      <c r="E447" s="275" t="s">
        <v>114</v>
      </c>
      <c r="F447" s="275" t="s">
        <v>114</v>
      </c>
      <c r="G447" s="274">
        <v>104</v>
      </c>
      <c r="H447" s="273">
        <v>51</v>
      </c>
    </row>
    <row r="448" spans="1:8" x14ac:dyDescent="0.2">
      <c r="A448" s="277">
        <v>281</v>
      </c>
      <c r="B448" s="275" t="s">
        <v>648</v>
      </c>
      <c r="C448" s="276" t="s">
        <v>650</v>
      </c>
      <c r="D448" s="276" t="s">
        <v>651</v>
      </c>
      <c r="E448" s="275" t="s">
        <v>114</v>
      </c>
      <c r="F448" s="275" t="s">
        <v>114</v>
      </c>
      <c r="G448" s="274">
        <v>109</v>
      </c>
      <c r="H448" s="273">
        <v>51</v>
      </c>
    </row>
    <row r="449" spans="1:8" x14ac:dyDescent="0.2">
      <c r="A449" s="277">
        <v>282</v>
      </c>
      <c r="B449" s="275" t="s">
        <v>648</v>
      </c>
      <c r="C449" s="276" t="s">
        <v>652</v>
      </c>
      <c r="D449" s="276" t="s">
        <v>653</v>
      </c>
      <c r="E449" s="275" t="s">
        <v>114</v>
      </c>
      <c r="F449" s="275" t="s">
        <v>114</v>
      </c>
      <c r="G449" s="274">
        <v>132</v>
      </c>
      <c r="H449" s="273">
        <v>56</v>
      </c>
    </row>
    <row r="450" spans="1:8" x14ac:dyDescent="0.2">
      <c r="A450" s="277">
        <v>283</v>
      </c>
      <c r="B450" s="275" t="s">
        <v>648</v>
      </c>
      <c r="C450" s="276" t="s">
        <v>654</v>
      </c>
      <c r="D450" s="276" t="s">
        <v>655</v>
      </c>
      <c r="E450" s="275" t="s">
        <v>114</v>
      </c>
      <c r="F450" s="275" t="s">
        <v>114</v>
      </c>
      <c r="G450" s="274">
        <v>119</v>
      </c>
      <c r="H450" s="273">
        <v>56</v>
      </c>
    </row>
    <row r="451" spans="1:8" x14ac:dyDescent="0.2">
      <c r="A451" s="277">
        <v>284</v>
      </c>
      <c r="B451" s="275" t="s">
        <v>648</v>
      </c>
      <c r="C451" s="276" t="s">
        <v>656</v>
      </c>
      <c r="D451" s="276" t="s">
        <v>657</v>
      </c>
      <c r="E451" s="275" t="s">
        <v>114</v>
      </c>
      <c r="F451" s="275" t="s">
        <v>114</v>
      </c>
      <c r="G451" s="274">
        <v>106</v>
      </c>
      <c r="H451" s="273">
        <v>56</v>
      </c>
    </row>
    <row r="452" spans="1:8" x14ac:dyDescent="0.2">
      <c r="A452" s="277">
        <v>285</v>
      </c>
      <c r="B452" s="275" t="s">
        <v>648</v>
      </c>
      <c r="C452" s="276" t="s">
        <v>658</v>
      </c>
      <c r="D452" s="276" t="s">
        <v>1053</v>
      </c>
      <c r="E452" s="275" t="s">
        <v>114</v>
      </c>
      <c r="F452" s="275" t="s">
        <v>114</v>
      </c>
      <c r="G452" s="274">
        <v>89</v>
      </c>
      <c r="H452" s="273">
        <v>56</v>
      </c>
    </row>
    <row r="453" spans="1:8" x14ac:dyDescent="0.2">
      <c r="A453" s="277">
        <v>287</v>
      </c>
      <c r="B453" s="275" t="s">
        <v>648</v>
      </c>
      <c r="C453" s="276" t="s">
        <v>659</v>
      </c>
      <c r="D453" s="276" t="s">
        <v>1052</v>
      </c>
      <c r="E453" s="275" t="s">
        <v>114</v>
      </c>
      <c r="F453" s="275" t="s">
        <v>114</v>
      </c>
      <c r="G453" s="274">
        <v>98</v>
      </c>
      <c r="H453" s="273">
        <v>51</v>
      </c>
    </row>
    <row r="454" spans="1:8" x14ac:dyDescent="0.2">
      <c r="A454" s="277">
        <v>291</v>
      </c>
      <c r="B454" s="275" t="s">
        <v>648</v>
      </c>
      <c r="C454" s="276" t="s">
        <v>660</v>
      </c>
      <c r="D454" s="276" t="s">
        <v>1051</v>
      </c>
      <c r="E454" s="275" t="s">
        <v>114</v>
      </c>
      <c r="F454" s="275" t="s">
        <v>114</v>
      </c>
      <c r="G454" s="274">
        <v>95</v>
      </c>
      <c r="H454" s="273">
        <v>51</v>
      </c>
    </row>
    <row r="455" spans="1:8" x14ac:dyDescent="0.2">
      <c r="A455" s="277">
        <v>289</v>
      </c>
      <c r="B455" s="275" t="s">
        <v>648</v>
      </c>
      <c r="C455" s="276" t="s">
        <v>661</v>
      </c>
      <c r="D455" s="276" t="s">
        <v>420</v>
      </c>
      <c r="E455" s="275" t="s">
        <v>114</v>
      </c>
      <c r="F455" s="275" t="s">
        <v>114</v>
      </c>
      <c r="G455" s="274">
        <v>94</v>
      </c>
      <c r="H455" s="273">
        <v>46</v>
      </c>
    </row>
    <row r="456" spans="1:8" x14ac:dyDescent="0.2">
      <c r="A456" s="277">
        <v>280</v>
      </c>
      <c r="B456" s="275" t="s">
        <v>648</v>
      </c>
      <c r="C456" s="276" t="s">
        <v>662</v>
      </c>
      <c r="D456" s="276" t="s">
        <v>663</v>
      </c>
      <c r="E456" s="275" t="s">
        <v>114</v>
      </c>
      <c r="F456" s="275" t="s">
        <v>114</v>
      </c>
      <c r="G456" s="274">
        <v>94</v>
      </c>
      <c r="H456" s="273">
        <v>46</v>
      </c>
    </row>
    <row r="457" spans="1:8" x14ac:dyDescent="0.2">
      <c r="A457" s="277">
        <v>294</v>
      </c>
      <c r="B457" s="275" t="s">
        <v>648</v>
      </c>
      <c r="C457" s="276" t="s">
        <v>664</v>
      </c>
      <c r="D457" s="276" t="s">
        <v>1050</v>
      </c>
      <c r="E457" s="275" t="s">
        <v>114</v>
      </c>
      <c r="F457" s="275" t="s">
        <v>114</v>
      </c>
      <c r="G457" s="274">
        <v>95</v>
      </c>
      <c r="H457" s="273">
        <v>51</v>
      </c>
    </row>
    <row r="458" spans="1:8" x14ac:dyDescent="0.2">
      <c r="A458" s="277">
        <v>485</v>
      </c>
      <c r="B458" s="275" t="s">
        <v>119</v>
      </c>
      <c r="C458" s="276" t="s">
        <v>665</v>
      </c>
      <c r="D458" s="276" t="s">
        <v>666</v>
      </c>
      <c r="E458" s="275" t="s">
        <v>114</v>
      </c>
      <c r="F458" s="275" t="s">
        <v>114</v>
      </c>
      <c r="G458" s="274">
        <v>109</v>
      </c>
      <c r="H458" s="273">
        <v>56</v>
      </c>
    </row>
    <row r="459" spans="1:8" x14ac:dyDescent="0.2">
      <c r="A459" s="277">
        <v>295</v>
      </c>
      <c r="B459" s="275" t="s">
        <v>119</v>
      </c>
      <c r="C459" s="276" t="s">
        <v>667</v>
      </c>
      <c r="D459" s="276" t="s">
        <v>668</v>
      </c>
      <c r="E459" s="275" t="s">
        <v>114</v>
      </c>
      <c r="F459" s="275" t="s">
        <v>114</v>
      </c>
      <c r="G459" s="274">
        <v>94</v>
      </c>
      <c r="H459" s="273">
        <v>66</v>
      </c>
    </row>
    <row r="460" spans="1:8" x14ac:dyDescent="0.2">
      <c r="A460" s="277">
        <v>298</v>
      </c>
      <c r="B460" s="275" t="s">
        <v>669</v>
      </c>
      <c r="C460" s="276" t="s">
        <v>670</v>
      </c>
      <c r="D460" s="276" t="s">
        <v>671</v>
      </c>
      <c r="E460" s="275" t="s">
        <v>114</v>
      </c>
      <c r="F460" s="275" t="s">
        <v>114</v>
      </c>
      <c r="G460" s="274">
        <v>114</v>
      </c>
      <c r="H460" s="273">
        <v>51</v>
      </c>
    </row>
    <row r="461" spans="1:8" x14ac:dyDescent="0.2">
      <c r="A461" s="277">
        <v>299</v>
      </c>
      <c r="B461" s="275" t="s">
        <v>669</v>
      </c>
      <c r="C461" s="276" t="s">
        <v>672</v>
      </c>
      <c r="D461" s="276" t="s">
        <v>673</v>
      </c>
      <c r="E461" s="275" t="s">
        <v>200</v>
      </c>
      <c r="F461" s="275" t="s">
        <v>253</v>
      </c>
      <c r="G461" s="274">
        <v>104</v>
      </c>
      <c r="H461" s="273">
        <v>61</v>
      </c>
    </row>
    <row r="462" spans="1:8" x14ac:dyDescent="0.2">
      <c r="A462" s="277">
        <v>299</v>
      </c>
      <c r="B462" s="275" t="s">
        <v>669</v>
      </c>
      <c r="C462" s="276" t="s">
        <v>672</v>
      </c>
      <c r="D462" s="276" t="s">
        <v>673</v>
      </c>
      <c r="E462" s="275" t="s">
        <v>254</v>
      </c>
      <c r="F462" s="275" t="s">
        <v>226</v>
      </c>
      <c r="G462" s="274">
        <v>144</v>
      </c>
      <c r="H462" s="273">
        <v>61</v>
      </c>
    </row>
    <row r="463" spans="1:8" x14ac:dyDescent="0.2">
      <c r="A463" s="277">
        <v>299</v>
      </c>
      <c r="B463" s="275" t="s">
        <v>669</v>
      </c>
      <c r="C463" s="276" t="s">
        <v>672</v>
      </c>
      <c r="D463" s="276" t="s">
        <v>673</v>
      </c>
      <c r="E463" s="275" t="s">
        <v>227</v>
      </c>
      <c r="F463" s="275" t="s">
        <v>205</v>
      </c>
      <c r="G463" s="274">
        <v>104</v>
      </c>
      <c r="H463" s="273">
        <v>61</v>
      </c>
    </row>
    <row r="464" spans="1:8" x14ac:dyDescent="0.2">
      <c r="A464" s="277">
        <v>300</v>
      </c>
      <c r="B464" s="275" t="s">
        <v>669</v>
      </c>
      <c r="C464" s="276" t="s">
        <v>674</v>
      </c>
      <c r="D464" s="276" t="s">
        <v>674</v>
      </c>
      <c r="E464" s="275" t="s">
        <v>114</v>
      </c>
      <c r="F464" s="275" t="s">
        <v>114</v>
      </c>
      <c r="G464" s="274">
        <v>97</v>
      </c>
      <c r="H464" s="273">
        <v>61</v>
      </c>
    </row>
    <row r="465" spans="1:8" x14ac:dyDescent="0.2">
      <c r="A465" s="277">
        <v>302</v>
      </c>
      <c r="B465" s="275" t="s">
        <v>669</v>
      </c>
      <c r="C465" s="276" t="s">
        <v>675</v>
      </c>
      <c r="D465" s="276" t="s">
        <v>676</v>
      </c>
      <c r="E465" s="275" t="s">
        <v>114</v>
      </c>
      <c r="F465" s="275" t="s">
        <v>114</v>
      </c>
      <c r="G465" s="274">
        <v>99</v>
      </c>
      <c r="H465" s="273">
        <v>51</v>
      </c>
    </row>
    <row r="466" spans="1:8" x14ac:dyDescent="0.2">
      <c r="A466" s="277">
        <v>304</v>
      </c>
      <c r="B466" s="275" t="s">
        <v>669</v>
      </c>
      <c r="C466" s="276" t="s">
        <v>677</v>
      </c>
      <c r="D466" s="276" t="s">
        <v>678</v>
      </c>
      <c r="E466" s="275" t="s">
        <v>200</v>
      </c>
      <c r="F466" s="275" t="s">
        <v>253</v>
      </c>
      <c r="G466" s="274">
        <v>95</v>
      </c>
      <c r="H466" s="273">
        <v>56</v>
      </c>
    </row>
    <row r="467" spans="1:8" x14ac:dyDescent="0.2">
      <c r="A467" s="277">
        <v>304</v>
      </c>
      <c r="B467" s="275" t="s">
        <v>669</v>
      </c>
      <c r="C467" s="276" t="s">
        <v>677</v>
      </c>
      <c r="D467" s="276" t="s">
        <v>678</v>
      </c>
      <c r="E467" s="275" t="s">
        <v>254</v>
      </c>
      <c r="F467" s="275" t="s">
        <v>226</v>
      </c>
      <c r="G467" s="274">
        <v>123</v>
      </c>
      <c r="H467" s="273">
        <v>56</v>
      </c>
    </row>
    <row r="468" spans="1:8" x14ac:dyDescent="0.2">
      <c r="A468" s="277">
        <v>304</v>
      </c>
      <c r="B468" s="275" t="s">
        <v>669</v>
      </c>
      <c r="C468" s="276" t="s">
        <v>677</v>
      </c>
      <c r="D468" s="276" t="s">
        <v>678</v>
      </c>
      <c r="E468" s="275" t="s">
        <v>227</v>
      </c>
      <c r="F468" s="275" t="s">
        <v>205</v>
      </c>
      <c r="G468" s="274">
        <v>95</v>
      </c>
      <c r="H468" s="273">
        <v>56</v>
      </c>
    </row>
    <row r="469" spans="1:8" x14ac:dyDescent="0.2">
      <c r="A469" s="277">
        <v>305</v>
      </c>
      <c r="B469" s="275" t="s">
        <v>669</v>
      </c>
      <c r="C469" s="276" t="s">
        <v>492</v>
      </c>
      <c r="D469" s="276" t="s">
        <v>679</v>
      </c>
      <c r="E469" s="275" t="s">
        <v>114</v>
      </c>
      <c r="F469" s="275" t="s">
        <v>114</v>
      </c>
      <c r="G469" s="274">
        <v>137</v>
      </c>
      <c r="H469" s="273">
        <v>66</v>
      </c>
    </row>
    <row r="470" spans="1:8" x14ac:dyDescent="0.2">
      <c r="A470" s="277">
        <v>306</v>
      </c>
      <c r="B470" s="275" t="s">
        <v>669</v>
      </c>
      <c r="C470" s="276" t="s">
        <v>680</v>
      </c>
      <c r="D470" s="276" t="s">
        <v>681</v>
      </c>
      <c r="E470" s="275" t="s">
        <v>200</v>
      </c>
      <c r="F470" s="275" t="s">
        <v>253</v>
      </c>
      <c r="G470" s="274">
        <v>100</v>
      </c>
      <c r="H470" s="273">
        <v>51</v>
      </c>
    </row>
    <row r="471" spans="1:8" x14ac:dyDescent="0.2">
      <c r="A471" s="277">
        <v>306</v>
      </c>
      <c r="B471" s="275" t="s">
        <v>669</v>
      </c>
      <c r="C471" s="276" t="s">
        <v>680</v>
      </c>
      <c r="D471" s="276" t="s">
        <v>681</v>
      </c>
      <c r="E471" s="275" t="s">
        <v>254</v>
      </c>
      <c r="F471" s="275" t="s">
        <v>226</v>
      </c>
      <c r="G471" s="274">
        <v>148</v>
      </c>
      <c r="H471" s="273">
        <v>51</v>
      </c>
    </row>
    <row r="472" spans="1:8" x14ac:dyDescent="0.2">
      <c r="A472" s="277">
        <v>306</v>
      </c>
      <c r="B472" s="275" t="s">
        <v>669</v>
      </c>
      <c r="C472" s="276" t="s">
        <v>680</v>
      </c>
      <c r="D472" s="276" t="s">
        <v>681</v>
      </c>
      <c r="E472" s="275" t="s">
        <v>227</v>
      </c>
      <c r="F472" s="275" t="s">
        <v>205</v>
      </c>
      <c r="G472" s="274">
        <v>100</v>
      </c>
      <c r="H472" s="273">
        <v>51</v>
      </c>
    </row>
    <row r="473" spans="1:8" x14ac:dyDescent="0.2">
      <c r="A473" s="277">
        <v>307</v>
      </c>
      <c r="B473" s="275" t="s">
        <v>682</v>
      </c>
      <c r="C473" s="276" t="s">
        <v>683</v>
      </c>
      <c r="D473" s="276" t="s">
        <v>1049</v>
      </c>
      <c r="E473" s="275" t="s">
        <v>114</v>
      </c>
      <c r="F473" s="275" t="s">
        <v>114</v>
      </c>
      <c r="G473" s="274">
        <v>88</v>
      </c>
      <c r="H473" s="273">
        <v>51</v>
      </c>
    </row>
    <row r="474" spans="1:8" x14ac:dyDescent="0.2">
      <c r="A474" s="277">
        <v>313</v>
      </c>
      <c r="B474" s="275" t="s">
        <v>682</v>
      </c>
      <c r="C474" s="276" t="s">
        <v>684</v>
      </c>
      <c r="D474" s="276" t="s">
        <v>684</v>
      </c>
      <c r="E474" s="275" t="s">
        <v>114</v>
      </c>
      <c r="F474" s="275" t="s">
        <v>114</v>
      </c>
      <c r="G474" s="274">
        <v>99</v>
      </c>
      <c r="H474" s="273">
        <v>71</v>
      </c>
    </row>
    <row r="475" spans="1:8" x14ac:dyDescent="0.2">
      <c r="A475" s="277">
        <v>309</v>
      </c>
      <c r="B475" s="275" t="s">
        <v>682</v>
      </c>
      <c r="C475" s="276" t="s">
        <v>685</v>
      </c>
      <c r="D475" s="276" t="s">
        <v>686</v>
      </c>
      <c r="E475" s="275" t="s">
        <v>114</v>
      </c>
      <c r="F475" s="275" t="s">
        <v>114</v>
      </c>
      <c r="G475" s="274">
        <v>95</v>
      </c>
      <c r="H475" s="273">
        <v>51</v>
      </c>
    </row>
    <row r="476" spans="1:8" x14ac:dyDescent="0.2">
      <c r="A476" s="277">
        <v>310</v>
      </c>
      <c r="B476" s="275" t="s">
        <v>682</v>
      </c>
      <c r="C476" s="276" t="s">
        <v>623</v>
      </c>
      <c r="D476" s="276" t="s">
        <v>623</v>
      </c>
      <c r="E476" s="275" t="s">
        <v>114</v>
      </c>
      <c r="F476" s="275" t="s">
        <v>114</v>
      </c>
      <c r="G476" s="274">
        <v>91</v>
      </c>
      <c r="H476" s="273">
        <v>46</v>
      </c>
    </row>
    <row r="477" spans="1:8" x14ac:dyDescent="0.2">
      <c r="A477" s="277">
        <v>311</v>
      </c>
      <c r="B477" s="275" t="s">
        <v>682</v>
      </c>
      <c r="C477" s="276" t="s">
        <v>687</v>
      </c>
      <c r="D477" s="276" t="s">
        <v>688</v>
      </c>
      <c r="E477" s="275" t="s">
        <v>200</v>
      </c>
      <c r="F477" s="275" t="s">
        <v>220</v>
      </c>
      <c r="G477" s="274">
        <v>105</v>
      </c>
      <c r="H477" s="273">
        <v>51</v>
      </c>
    </row>
    <row r="478" spans="1:8" x14ac:dyDescent="0.2">
      <c r="A478" s="277">
        <v>311</v>
      </c>
      <c r="B478" s="275" t="s">
        <v>682</v>
      </c>
      <c r="C478" s="276" t="s">
        <v>687</v>
      </c>
      <c r="D478" s="276" t="s">
        <v>688</v>
      </c>
      <c r="E478" s="275" t="s">
        <v>221</v>
      </c>
      <c r="F478" s="275" t="s">
        <v>258</v>
      </c>
      <c r="G478" s="274">
        <v>83</v>
      </c>
      <c r="H478" s="273">
        <v>51</v>
      </c>
    </row>
    <row r="479" spans="1:8" x14ac:dyDescent="0.2">
      <c r="A479" s="277">
        <v>311</v>
      </c>
      <c r="B479" s="275" t="s">
        <v>682</v>
      </c>
      <c r="C479" s="276" t="s">
        <v>687</v>
      </c>
      <c r="D479" s="276" t="s">
        <v>688</v>
      </c>
      <c r="E479" s="275" t="s">
        <v>259</v>
      </c>
      <c r="F479" s="275" t="s">
        <v>205</v>
      </c>
      <c r="G479" s="274">
        <v>105</v>
      </c>
      <c r="H479" s="273">
        <v>51</v>
      </c>
    </row>
    <row r="480" spans="1:8" x14ac:dyDescent="0.2">
      <c r="A480" s="277">
        <v>312</v>
      </c>
      <c r="B480" s="275" t="s">
        <v>682</v>
      </c>
      <c r="C480" s="276" t="s">
        <v>689</v>
      </c>
      <c r="D480" s="276" t="s">
        <v>690</v>
      </c>
      <c r="E480" s="275" t="s">
        <v>114</v>
      </c>
      <c r="F480" s="275" t="s">
        <v>114</v>
      </c>
      <c r="G480" s="274">
        <v>108</v>
      </c>
      <c r="H480" s="273">
        <v>51</v>
      </c>
    </row>
    <row r="481" spans="1:8" x14ac:dyDescent="0.2">
      <c r="A481" s="277">
        <v>489</v>
      </c>
      <c r="B481" s="275" t="s">
        <v>682</v>
      </c>
      <c r="C481" s="276" t="s">
        <v>691</v>
      </c>
      <c r="D481" s="276" t="s">
        <v>691</v>
      </c>
      <c r="E481" s="275" t="s">
        <v>200</v>
      </c>
      <c r="F481" s="275" t="s">
        <v>201</v>
      </c>
      <c r="G481" s="274">
        <v>103</v>
      </c>
      <c r="H481" s="273">
        <v>51</v>
      </c>
    </row>
    <row r="482" spans="1:8" x14ac:dyDescent="0.2">
      <c r="A482" s="277">
        <v>489</v>
      </c>
      <c r="B482" s="275" t="s">
        <v>682</v>
      </c>
      <c r="C482" s="276" t="s">
        <v>691</v>
      </c>
      <c r="D482" s="276" t="s">
        <v>691</v>
      </c>
      <c r="E482" s="275" t="s">
        <v>202</v>
      </c>
      <c r="F482" s="275" t="s">
        <v>226</v>
      </c>
      <c r="G482" s="274">
        <v>154</v>
      </c>
      <c r="H482" s="273">
        <v>51</v>
      </c>
    </row>
    <row r="483" spans="1:8" x14ac:dyDescent="0.2">
      <c r="A483" s="277">
        <v>489</v>
      </c>
      <c r="B483" s="275" t="s">
        <v>682</v>
      </c>
      <c r="C483" s="276" t="s">
        <v>691</v>
      </c>
      <c r="D483" s="276" t="s">
        <v>691</v>
      </c>
      <c r="E483" s="275" t="s">
        <v>227</v>
      </c>
      <c r="F483" s="275" t="s">
        <v>205</v>
      </c>
      <c r="G483" s="274">
        <v>103</v>
      </c>
      <c r="H483" s="273">
        <v>51</v>
      </c>
    </row>
    <row r="484" spans="1:8" x14ac:dyDescent="0.2">
      <c r="A484" s="277">
        <v>314</v>
      </c>
      <c r="B484" s="275" t="s">
        <v>682</v>
      </c>
      <c r="C484" s="276" t="s">
        <v>692</v>
      </c>
      <c r="D484" s="276" t="s">
        <v>692</v>
      </c>
      <c r="E484" s="275" t="s">
        <v>114</v>
      </c>
      <c r="F484" s="275" t="s">
        <v>114</v>
      </c>
      <c r="G484" s="274">
        <v>100</v>
      </c>
      <c r="H484" s="273">
        <v>56</v>
      </c>
    </row>
    <row r="485" spans="1:8" x14ac:dyDescent="0.2">
      <c r="A485" s="277">
        <v>315</v>
      </c>
      <c r="B485" s="275" t="s">
        <v>682</v>
      </c>
      <c r="C485" s="276" t="s">
        <v>693</v>
      </c>
      <c r="D485" s="276" t="s">
        <v>694</v>
      </c>
      <c r="E485" s="275" t="s">
        <v>114</v>
      </c>
      <c r="F485" s="275" t="s">
        <v>114</v>
      </c>
      <c r="G485" s="274">
        <v>122</v>
      </c>
      <c r="H485" s="273">
        <v>51</v>
      </c>
    </row>
    <row r="486" spans="1:8" x14ac:dyDescent="0.2">
      <c r="A486" s="277">
        <v>316</v>
      </c>
      <c r="B486" s="275" t="s">
        <v>682</v>
      </c>
      <c r="C486" s="276" t="s">
        <v>695</v>
      </c>
      <c r="D486" s="276" t="s">
        <v>556</v>
      </c>
      <c r="E486" s="275" t="s">
        <v>114</v>
      </c>
      <c r="F486" s="275" t="s">
        <v>114</v>
      </c>
      <c r="G486" s="274">
        <v>91</v>
      </c>
      <c r="H486" s="273">
        <v>56</v>
      </c>
    </row>
    <row r="487" spans="1:8" x14ac:dyDescent="0.2">
      <c r="A487" s="277">
        <v>435</v>
      </c>
      <c r="B487" s="275" t="s">
        <v>682</v>
      </c>
      <c r="C487" s="276" t="s">
        <v>696</v>
      </c>
      <c r="D487" s="276" t="s">
        <v>696</v>
      </c>
      <c r="E487" s="275" t="s">
        <v>114</v>
      </c>
      <c r="F487" s="275" t="s">
        <v>114</v>
      </c>
      <c r="G487" s="274">
        <v>125</v>
      </c>
      <c r="H487" s="273">
        <v>66</v>
      </c>
    </row>
    <row r="488" spans="1:8" x14ac:dyDescent="0.2">
      <c r="A488" s="277">
        <v>317</v>
      </c>
      <c r="B488" s="275" t="s">
        <v>682</v>
      </c>
      <c r="C488" s="276" t="s">
        <v>697</v>
      </c>
      <c r="D488" s="276" t="s">
        <v>697</v>
      </c>
      <c r="E488" s="275" t="s">
        <v>200</v>
      </c>
      <c r="F488" s="275" t="s">
        <v>256</v>
      </c>
      <c r="G488" s="274">
        <v>166</v>
      </c>
      <c r="H488" s="273">
        <v>66</v>
      </c>
    </row>
    <row r="489" spans="1:8" x14ac:dyDescent="0.2">
      <c r="A489" s="277">
        <v>317</v>
      </c>
      <c r="B489" s="275" t="s">
        <v>682</v>
      </c>
      <c r="C489" s="276" t="s">
        <v>697</v>
      </c>
      <c r="D489" s="276" t="s">
        <v>697</v>
      </c>
      <c r="E489" s="275" t="s">
        <v>257</v>
      </c>
      <c r="F489" s="275" t="s">
        <v>210</v>
      </c>
      <c r="G489" s="274">
        <v>139</v>
      </c>
      <c r="H489" s="273">
        <v>66</v>
      </c>
    </row>
    <row r="490" spans="1:8" x14ac:dyDescent="0.2">
      <c r="A490" s="277">
        <v>317</v>
      </c>
      <c r="B490" s="275" t="s">
        <v>682</v>
      </c>
      <c r="C490" s="276" t="s">
        <v>697</v>
      </c>
      <c r="D490" s="276" t="s">
        <v>697</v>
      </c>
      <c r="E490" s="275" t="s">
        <v>211</v>
      </c>
      <c r="F490" s="275" t="s">
        <v>253</v>
      </c>
      <c r="G490" s="274">
        <v>171</v>
      </c>
      <c r="H490" s="273">
        <v>66</v>
      </c>
    </row>
    <row r="491" spans="1:8" x14ac:dyDescent="0.2">
      <c r="A491" s="277">
        <v>317</v>
      </c>
      <c r="B491" s="275" t="s">
        <v>682</v>
      </c>
      <c r="C491" s="276" t="s">
        <v>697</v>
      </c>
      <c r="D491" s="276" t="s">
        <v>697</v>
      </c>
      <c r="E491" s="275" t="s">
        <v>254</v>
      </c>
      <c r="F491" s="275" t="s">
        <v>226</v>
      </c>
      <c r="G491" s="274">
        <v>142</v>
      </c>
      <c r="H491" s="273">
        <v>66</v>
      </c>
    </row>
    <row r="492" spans="1:8" x14ac:dyDescent="0.2">
      <c r="A492" s="277">
        <v>317</v>
      </c>
      <c r="B492" s="275" t="s">
        <v>682</v>
      </c>
      <c r="C492" s="276" t="s">
        <v>697</v>
      </c>
      <c r="D492" s="276" t="s">
        <v>697</v>
      </c>
      <c r="E492" s="275" t="s">
        <v>227</v>
      </c>
      <c r="F492" s="275" t="s">
        <v>205</v>
      </c>
      <c r="G492" s="274">
        <v>166</v>
      </c>
      <c r="H492" s="273">
        <v>66</v>
      </c>
    </row>
    <row r="493" spans="1:8" x14ac:dyDescent="0.2">
      <c r="A493" s="277">
        <v>318</v>
      </c>
      <c r="B493" s="275" t="s">
        <v>682</v>
      </c>
      <c r="C493" s="276" t="s">
        <v>698</v>
      </c>
      <c r="D493" s="276" t="s">
        <v>699</v>
      </c>
      <c r="E493" s="275" t="s">
        <v>114</v>
      </c>
      <c r="F493" s="275" t="s">
        <v>114</v>
      </c>
      <c r="G493" s="274">
        <v>128</v>
      </c>
      <c r="H493" s="273">
        <v>71</v>
      </c>
    </row>
    <row r="494" spans="1:8" x14ac:dyDescent="0.2">
      <c r="A494" s="277">
        <v>319</v>
      </c>
      <c r="B494" s="275" t="s">
        <v>682</v>
      </c>
      <c r="C494" s="276" t="s">
        <v>700</v>
      </c>
      <c r="D494" s="276" t="s">
        <v>701</v>
      </c>
      <c r="E494" s="275" t="s">
        <v>114</v>
      </c>
      <c r="F494" s="275" t="s">
        <v>114</v>
      </c>
      <c r="G494" s="274">
        <v>94</v>
      </c>
      <c r="H494" s="273">
        <v>56</v>
      </c>
    </row>
    <row r="495" spans="1:8" x14ac:dyDescent="0.2">
      <c r="A495" s="277">
        <v>320</v>
      </c>
      <c r="B495" s="275" t="s">
        <v>682</v>
      </c>
      <c r="C495" s="276" t="s">
        <v>702</v>
      </c>
      <c r="D495" s="276" t="s">
        <v>703</v>
      </c>
      <c r="E495" s="275" t="s">
        <v>114</v>
      </c>
      <c r="F495" s="275" t="s">
        <v>114</v>
      </c>
      <c r="G495" s="274">
        <v>89</v>
      </c>
      <c r="H495" s="273">
        <v>56</v>
      </c>
    </row>
    <row r="496" spans="1:8" x14ac:dyDescent="0.2">
      <c r="A496" s="277">
        <v>321</v>
      </c>
      <c r="B496" s="275" t="s">
        <v>682</v>
      </c>
      <c r="C496" s="276" t="s">
        <v>704</v>
      </c>
      <c r="D496" s="276" t="s">
        <v>705</v>
      </c>
      <c r="E496" s="275" t="s">
        <v>114</v>
      </c>
      <c r="F496" s="275" t="s">
        <v>114</v>
      </c>
      <c r="G496" s="274">
        <v>87</v>
      </c>
      <c r="H496" s="273">
        <v>56</v>
      </c>
    </row>
    <row r="497" spans="1:8" ht="25.5" x14ac:dyDescent="0.2">
      <c r="A497" s="277">
        <v>322</v>
      </c>
      <c r="B497" s="275" t="s">
        <v>706</v>
      </c>
      <c r="C497" s="276" t="s">
        <v>707</v>
      </c>
      <c r="D497" s="276" t="s">
        <v>1048</v>
      </c>
      <c r="E497" s="275" t="s">
        <v>114</v>
      </c>
      <c r="F497" s="275" t="s">
        <v>114</v>
      </c>
      <c r="G497" s="274">
        <v>91</v>
      </c>
      <c r="H497" s="273">
        <v>56</v>
      </c>
    </row>
    <row r="498" spans="1:8" x14ac:dyDescent="0.2">
      <c r="A498" s="277">
        <v>323</v>
      </c>
      <c r="B498" s="275" t="s">
        <v>706</v>
      </c>
      <c r="C498" s="276" t="s">
        <v>708</v>
      </c>
      <c r="D498" s="276" t="s">
        <v>709</v>
      </c>
      <c r="E498" s="275" t="s">
        <v>200</v>
      </c>
      <c r="F498" s="275" t="s">
        <v>220</v>
      </c>
      <c r="G498" s="274">
        <v>165</v>
      </c>
      <c r="H498" s="273">
        <v>71</v>
      </c>
    </row>
    <row r="499" spans="1:8" x14ac:dyDescent="0.2">
      <c r="A499" s="277">
        <v>323</v>
      </c>
      <c r="B499" s="275" t="s">
        <v>706</v>
      </c>
      <c r="C499" s="276" t="s">
        <v>708</v>
      </c>
      <c r="D499" s="276" t="s">
        <v>709</v>
      </c>
      <c r="E499" s="275" t="s">
        <v>221</v>
      </c>
      <c r="F499" s="275" t="s">
        <v>224</v>
      </c>
      <c r="G499" s="274">
        <v>96</v>
      </c>
      <c r="H499" s="273">
        <v>71</v>
      </c>
    </row>
    <row r="500" spans="1:8" x14ac:dyDescent="0.2">
      <c r="A500" s="277">
        <v>323</v>
      </c>
      <c r="B500" s="275" t="s">
        <v>706</v>
      </c>
      <c r="C500" s="276" t="s">
        <v>708</v>
      </c>
      <c r="D500" s="276" t="s">
        <v>709</v>
      </c>
      <c r="E500" s="275" t="s">
        <v>225</v>
      </c>
      <c r="F500" s="275" t="s">
        <v>205</v>
      </c>
      <c r="G500" s="274">
        <v>165</v>
      </c>
      <c r="H500" s="273">
        <v>71</v>
      </c>
    </row>
    <row r="501" spans="1:8" x14ac:dyDescent="0.2">
      <c r="A501" s="277">
        <v>325</v>
      </c>
      <c r="B501" s="275" t="s">
        <v>706</v>
      </c>
      <c r="C501" s="276" t="s">
        <v>710</v>
      </c>
      <c r="D501" s="276" t="s">
        <v>710</v>
      </c>
      <c r="E501" s="275" t="s">
        <v>114</v>
      </c>
      <c r="F501" s="275" t="s">
        <v>114</v>
      </c>
      <c r="G501" s="274">
        <v>131</v>
      </c>
      <c r="H501" s="273">
        <v>71</v>
      </c>
    </row>
    <row r="502" spans="1:8" x14ac:dyDescent="0.2">
      <c r="A502" s="277">
        <v>437</v>
      </c>
      <c r="B502" s="275" t="s">
        <v>711</v>
      </c>
      <c r="C502" s="276" t="s">
        <v>712</v>
      </c>
      <c r="D502" s="276" t="s">
        <v>712</v>
      </c>
      <c r="E502" s="275" t="s">
        <v>114</v>
      </c>
      <c r="F502" s="275" t="s">
        <v>114</v>
      </c>
      <c r="G502" s="274">
        <v>88</v>
      </c>
      <c r="H502" s="273">
        <v>46</v>
      </c>
    </row>
    <row r="503" spans="1:8" x14ac:dyDescent="0.2">
      <c r="A503" s="277">
        <v>326</v>
      </c>
      <c r="B503" s="275" t="s">
        <v>711</v>
      </c>
      <c r="C503" s="276" t="s">
        <v>713</v>
      </c>
      <c r="D503" s="276" t="s">
        <v>1047</v>
      </c>
      <c r="E503" s="275" t="s">
        <v>200</v>
      </c>
      <c r="F503" s="275" t="s">
        <v>220</v>
      </c>
      <c r="G503" s="274">
        <v>157</v>
      </c>
      <c r="H503" s="273">
        <v>56</v>
      </c>
    </row>
    <row r="504" spans="1:8" x14ac:dyDescent="0.2">
      <c r="A504" s="277">
        <v>326</v>
      </c>
      <c r="B504" s="275" t="s">
        <v>711</v>
      </c>
      <c r="C504" s="276" t="s">
        <v>713</v>
      </c>
      <c r="D504" s="276" t="s">
        <v>1047</v>
      </c>
      <c r="E504" s="275" t="s">
        <v>221</v>
      </c>
      <c r="F504" s="275" t="s">
        <v>210</v>
      </c>
      <c r="G504" s="274">
        <v>142</v>
      </c>
      <c r="H504" s="273">
        <v>56</v>
      </c>
    </row>
    <row r="505" spans="1:8" x14ac:dyDescent="0.2">
      <c r="A505" s="277">
        <v>326</v>
      </c>
      <c r="B505" s="275" t="s">
        <v>711</v>
      </c>
      <c r="C505" s="276" t="s">
        <v>713</v>
      </c>
      <c r="D505" s="276" t="s">
        <v>1047</v>
      </c>
      <c r="E505" s="275" t="s">
        <v>211</v>
      </c>
      <c r="F505" s="275" t="s">
        <v>201</v>
      </c>
      <c r="G505" s="274">
        <v>186</v>
      </c>
      <c r="H505" s="273">
        <v>56</v>
      </c>
    </row>
    <row r="506" spans="1:8" x14ac:dyDescent="0.2">
      <c r="A506" s="277">
        <v>326</v>
      </c>
      <c r="B506" s="275" t="s">
        <v>711</v>
      </c>
      <c r="C506" s="276" t="s">
        <v>713</v>
      </c>
      <c r="D506" s="276" t="s">
        <v>1047</v>
      </c>
      <c r="E506" s="275" t="s">
        <v>202</v>
      </c>
      <c r="F506" s="275" t="s">
        <v>205</v>
      </c>
      <c r="G506" s="274">
        <v>157</v>
      </c>
      <c r="H506" s="273">
        <v>56</v>
      </c>
    </row>
    <row r="507" spans="1:8" x14ac:dyDescent="0.2">
      <c r="A507" s="277">
        <v>327</v>
      </c>
      <c r="B507" s="275" t="s">
        <v>711</v>
      </c>
      <c r="C507" s="276" t="s">
        <v>482</v>
      </c>
      <c r="D507" s="276" t="s">
        <v>714</v>
      </c>
      <c r="E507" s="275" t="s">
        <v>114</v>
      </c>
      <c r="F507" s="275" t="s">
        <v>114</v>
      </c>
      <c r="G507" s="274">
        <v>94</v>
      </c>
      <c r="H507" s="273">
        <v>51</v>
      </c>
    </row>
    <row r="508" spans="1:8" x14ac:dyDescent="0.2">
      <c r="A508" s="277">
        <v>329</v>
      </c>
      <c r="B508" s="275" t="s">
        <v>711</v>
      </c>
      <c r="C508" s="276" t="s">
        <v>715</v>
      </c>
      <c r="D508" s="276" t="s">
        <v>716</v>
      </c>
      <c r="E508" s="275" t="s">
        <v>200</v>
      </c>
      <c r="F508" s="275" t="s">
        <v>258</v>
      </c>
      <c r="G508" s="274">
        <v>104</v>
      </c>
      <c r="H508" s="273">
        <v>61</v>
      </c>
    </row>
    <row r="509" spans="1:8" x14ac:dyDescent="0.2">
      <c r="A509" s="277">
        <v>329</v>
      </c>
      <c r="B509" s="275" t="s">
        <v>711</v>
      </c>
      <c r="C509" s="276" t="s">
        <v>715</v>
      </c>
      <c r="D509" s="276" t="s">
        <v>716</v>
      </c>
      <c r="E509" s="275" t="s">
        <v>259</v>
      </c>
      <c r="F509" s="275" t="s">
        <v>203</v>
      </c>
      <c r="G509" s="274">
        <v>133</v>
      </c>
      <c r="H509" s="273">
        <v>61</v>
      </c>
    </row>
    <row r="510" spans="1:8" x14ac:dyDescent="0.2">
      <c r="A510" s="277">
        <v>329</v>
      </c>
      <c r="B510" s="275" t="s">
        <v>711</v>
      </c>
      <c r="C510" s="276" t="s">
        <v>715</v>
      </c>
      <c r="D510" s="276" t="s">
        <v>716</v>
      </c>
      <c r="E510" s="275" t="s">
        <v>204</v>
      </c>
      <c r="F510" s="275" t="s">
        <v>205</v>
      </c>
      <c r="G510" s="274">
        <v>104</v>
      </c>
      <c r="H510" s="273">
        <v>61</v>
      </c>
    </row>
    <row r="511" spans="1:8" x14ac:dyDescent="0.2">
      <c r="A511" s="277">
        <v>330</v>
      </c>
      <c r="B511" s="275" t="s">
        <v>711</v>
      </c>
      <c r="C511" s="276" t="s">
        <v>717</v>
      </c>
      <c r="D511" s="276" t="s">
        <v>718</v>
      </c>
      <c r="E511" s="275" t="s">
        <v>200</v>
      </c>
      <c r="F511" s="275" t="s">
        <v>258</v>
      </c>
      <c r="G511" s="274">
        <v>83</v>
      </c>
      <c r="H511" s="273">
        <v>51</v>
      </c>
    </row>
    <row r="512" spans="1:8" x14ac:dyDescent="0.2">
      <c r="A512" s="277">
        <v>330</v>
      </c>
      <c r="B512" s="275" t="s">
        <v>711</v>
      </c>
      <c r="C512" s="276" t="s">
        <v>717</v>
      </c>
      <c r="D512" s="276" t="s">
        <v>718</v>
      </c>
      <c r="E512" s="275" t="s">
        <v>259</v>
      </c>
      <c r="F512" s="275" t="s">
        <v>201</v>
      </c>
      <c r="G512" s="274">
        <v>101</v>
      </c>
      <c r="H512" s="273">
        <v>51</v>
      </c>
    </row>
    <row r="513" spans="1:8" x14ac:dyDescent="0.2">
      <c r="A513" s="277">
        <v>330</v>
      </c>
      <c r="B513" s="275" t="s">
        <v>711</v>
      </c>
      <c r="C513" s="276" t="s">
        <v>717</v>
      </c>
      <c r="D513" s="276" t="s">
        <v>718</v>
      </c>
      <c r="E513" s="275" t="s">
        <v>202</v>
      </c>
      <c r="F513" s="275" t="s">
        <v>226</v>
      </c>
      <c r="G513" s="274">
        <v>143</v>
      </c>
      <c r="H513" s="273">
        <v>51</v>
      </c>
    </row>
    <row r="514" spans="1:8" x14ac:dyDescent="0.2">
      <c r="A514" s="277">
        <v>330</v>
      </c>
      <c r="B514" s="275" t="s">
        <v>711</v>
      </c>
      <c r="C514" s="276" t="s">
        <v>717</v>
      </c>
      <c r="D514" s="276" t="s">
        <v>718</v>
      </c>
      <c r="E514" s="275" t="s">
        <v>227</v>
      </c>
      <c r="F514" s="275" t="s">
        <v>205</v>
      </c>
      <c r="G514" s="274">
        <v>83</v>
      </c>
      <c r="H514" s="273">
        <v>51</v>
      </c>
    </row>
    <row r="515" spans="1:8" x14ac:dyDescent="0.2">
      <c r="A515" s="277">
        <v>332</v>
      </c>
      <c r="B515" s="275" t="s">
        <v>719</v>
      </c>
      <c r="C515" s="276" t="s">
        <v>213</v>
      </c>
      <c r="D515" s="276" t="s">
        <v>1046</v>
      </c>
      <c r="E515" s="275" t="s">
        <v>200</v>
      </c>
      <c r="F515" s="275" t="s">
        <v>220</v>
      </c>
      <c r="G515" s="274">
        <v>89</v>
      </c>
      <c r="H515" s="273">
        <v>46</v>
      </c>
    </row>
    <row r="516" spans="1:8" x14ac:dyDescent="0.2">
      <c r="A516" s="277">
        <v>332</v>
      </c>
      <c r="B516" s="275" t="s">
        <v>719</v>
      </c>
      <c r="C516" s="276" t="s">
        <v>213</v>
      </c>
      <c r="D516" s="276" t="s">
        <v>1046</v>
      </c>
      <c r="E516" s="275" t="s">
        <v>221</v>
      </c>
      <c r="F516" s="275" t="s">
        <v>201</v>
      </c>
      <c r="G516" s="274">
        <v>83</v>
      </c>
      <c r="H516" s="273">
        <v>46</v>
      </c>
    </row>
    <row r="517" spans="1:8" x14ac:dyDescent="0.2">
      <c r="A517" s="277">
        <v>332</v>
      </c>
      <c r="B517" s="275" t="s">
        <v>719</v>
      </c>
      <c r="C517" s="276" t="s">
        <v>213</v>
      </c>
      <c r="D517" s="276" t="s">
        <v>1046</v>
      </c>
      <c r="E517" s="275" t="s">
        <v>202</v>
      </c>
      <c r="F517" s="275" t="s">
        <v>226</v>
      </c>
      <c r="G517" s="274">
        <v>128</v>
      </c>
      <c r="H517" s="273">
        <v>46</v>
      </c>
    </row>
    <row r="518" spans="1:8" x14ac:dyDescent="0.2">
      <c r="A518" s="277">
        <v>332</v>
      </c>
      <c r="B518" s="275" t="s">
        <v>719</v>
      </c>
      <c r="C518" s="276" t="s">
        <v>213</v>
      </c>
      <c r="D518" s="276" t="s">
        <v>1046</v>
      </c>
      <c r="E518" s="275" t="s">
        <v>227</v>
      </c>
      <c r="F518" s="275" t="s">
        <v>205</v>
      </c>
      <c r="G518" s="274">
        <v>89</v>
      </c>
      <c r="H518" s="273">
        <v>46</v>
      </c>
    </row>
    <row r="519" spans="1:8" x14ac:dyDescent="0.2">
      <c r="A519" s="277">
        <v>333</v>
      </c>
      <c r="B519" s="275" t="s">
        <v>719</v>
      </c>
      <c r="C519" s="276" t="s">
        <v>720</v>
      </c>
      <c r="D519" s="276" t="s">
        <v>721</v>
      </c>
      <c r="E519" s="275" t="s">
        <v>200</v>
      </c>
      <c r="F519" s="275" t="s">
        <v>201</v>
      </c>
      <c r="G519" s="274">
        <v>83</v>
      </c>
      <c r="H519" s="273">
        <v>51</v>
      </c>
    </row>
    <row r="520" spans="1:8" x14ac:dyDescent="0.2">
      <c r="A520" s="277">
        <v>333</v>
      </c>
      <c r="B520" s="275" t="s">
        <v>719</v>
      </c>
      <c r="C520" s="276" t="s">
        <v>720</v>
      </c>
      <c r="D520" s="276" t="s">
        <v>721</v>
      </c>
      <c r="E520" s="275" t="s">
        <v>202</v>
      </c>
      <c r="F520" s="275" t="s">
        <v>226</v>
      </c>
      <c r="G520" s="274">
        <v>133</v>
      </c>
      <c r="H520" s="273">
        <v>51</v>
      </c>
    </row>
    <row r="521" spans="1:8" x14ac:dyDescent="0.2">
      <c r="A521" s="277">
        <v>333</v>
      </c>
      <c r="B521" s="275" t="s">
        <v>719</v>
      </c>
      <c r="C521" s="276" t="s">
        <v>720</v>
      </c>
      <c r="D521" s="276" t="s">
        <v>721</v>
      </c>
      <c r="E521" s="275" t="s">
        <v>227</v>
      </c>
      <c r="F521" s="275" t="s">
        <v>205</v>
      </c>
      <c r="G521" s="274">
        <v>83</v>
      </c>
      <c r="H521" s="273">
        <v>51</v>
      </c>
    </row>
    <row r="522" spans="1:8" x14ac:dyDescent="0.2">
      <c r="A522" s="277">
        <v>334</v>
      </c>
      <c r="B522" s="275" t="s">
        <v>719</v>
      </c>
      <c r="C522" s="276" t="s">
        <v>722</v>
      </c>
      <c r="D522" s="276" t="s">
        <v>1045</v>
      </c>
      <c r="E522" s="275" t="s">
        <v>200</v>
      </c>
      <c r="F522" s="275" t="s">
        <v>201</v>
      </c>
      <c r="G522" s="274">
        <v>83</v>
      </c>
      <c r="H522" s="273">
        <v>51</v>
      </c>
    </row>
    <row r="523" spans="1:8" x14ac:dyDescent="0.2">
      <c r="A523" s="277">
        <v>334</v>
      </c>
      <c r="B523" s="275" t="s">
        <v>719</v>
      </c>
      <c r="C523" s="276" t="s">
        <v>722</v>
      </c>
      <c r="D523" s="276" t="s">
        <v>1045</v>
      </c>
      <c r="E523" s="275" t="s">
        <v>202</v>
      </c>
      <c r="F523" s="275" t="s">
        <v>226</v>
      </c>
      <c r="G523" s="274">
        <v>113</v>
      </c>
      <c r="H523" s="273">
        <v>51</v>
      </c>
    </row>
    <row r="524" spans="1:8" x14ac:dyDescent="0.2">
      <c r="A524" s="277">
        <v>334</v>
      </c>
      <c r="B524" s="275" t="s">
        <v>719</v>
      </c>
      <c r="C524" s="276" t="s">
        <v>722</v>
      </c>
      <c r="D524" s="276" t="s">
        <v>1045</v>
      </c>
      <c r="E524" s="275" t="s">
        <v>227</v>
      </c>
      <c r="F524" s="275" t="s">
        <v>205</v>
      </c>
      <c r="G524" s="274">
        <v>83</v>
      </c>
      <c r="H524" s="273">
        <v>51</v>
      </c>
    </row>
    <row r="525" spans="1:8" x14ac:dyDescent="0.2">
      <c r="A525" s="277">
        <v>335</v>
      </c>
      <c r="B525" s="275" t="s">
        <v>723</v>
      </c>
      <c r="C525" s="276" t="s">
        <v>724</v>
      </c>
      <c r="D525" s="276" t="s">
        <v>725</v>
      </c>
      <c r="E525" s="275" t="s">
        <v>114</v>
      </c>
      <c r="F525" s="275" t="s">
        <v>114</v>
      </c>
      <c r="G525" s="274">
        <v>107</v>
      </c>
      <c r="H525" s="273">
        <v>56</v>
      </c>
    </row>
    <row r="526" spans="1:8" x14ac:dyDescent="0.2">
      <c r="A526" s="277">
        <v>336</v>
      </c>
      <c r="B526" s="275" t="s">
        <v>723</v>
      </c>
      <c r="C526" s="276" t="s">
        <v>726</v>
      </c>
      <c r="D526" s="276" t="s">
        <v>659</v>
      </c>
      <c r="E526" s="275" t="s">
        <v>114</v>
      </c>
      <c r="F526" s="275" t="s">
        <v>114</v>
      </c>
      <c r="G526" s="274">
        <v>94</v>
      </c>
      <c r="H526" s="273">
        <v>56</v>
      </c>
    </row>
    <row r="527" spans="1:8" x14ac:dyDescent="0.2">
      <c r="A527" s="277">
        <v>338</v>
      </c>
      <c r="B527" s="275" t="s">
        <v>723</v>
      </c>
      <c r="C527" s="276" t="s">
        <v>727</v>
      </c>
      <c r="D527" s="276" t="s">
        <v>495</v>
      </c>
      <c r="E527" s="275" t="s">
        <v>114</v>
      </c>
      <c r="F527" s="275" t="s">
        <v>114</v>
      </c>
      <c r="G527" s="274">
        <v>88</v>
      </c>
      <c r="H527" s="273">
        <v>56</v>
      </c>
    </row>
    <row r="528" spans="1:8" x14ac:dyDescent="0.2">
      <c r="A528" s="277">
        <v>339</v>
      </c>
      <c r="B528" s="275" t="s">
        <v>723</v>
      </c>
      <c r="C528" s="276" t="s">
        <v>728</v>
      </c>
      <c r="D528" s="276" t="s">
        <v>729</v>
      </c>
      <c r="E528" s="275" t="s">
        <v>114</v>
      </c>
      <c r="F528" s="275" t="s">
        <v>114</v>
      </c>
      <c r="G528" s="274">
        <v>102</v>
      </c>
      <c r="H528" s="273">
        <v>61</v>
      </c>
    </row>
    <row r="529" spans="1:8" x14ac:dyDescent="0.2">
      <c r="A529" s="277">
        <v>340</v>
      </c>
      <c r="B529" s="275" t="s">
        <v>723</v>
      </c>
      <c r="C529" s="276" t="s">
        <v>730</v>
      </c>
      <c r="D529" s="276" t="s">
        <v>731</v>
      </c>
      <c r="E529" s="275" t="s">
        <v>200</v>
      </c>
      <c r="F529" s="275" t="s">
        <v>253</v>
      </c>
      <c r="G529" s="274">
        <v>132</v>
      </c>
      <c r="H529" s="273">
        <v>66</v>
      </c>
    </row>
    <row r="530" spans="1:8" x14ac:dyDescent="0.2">
      <c r="A530" s="277">
        <v>340</v>
      </c>
      <c r="B530" s="275" t="s">
        <v>723</v>
      </c>
      <c r="C530" s="276" t="s">
        <v>730</v>
      </c>
      <c r="D530" s="276" t="s">
        <v>731</v>
      </c>
      <c r="E530" s="275" t="s">
        <v>254</v>
      </c>
      <c r="F530" s="275" t="s">
        <v>226</v>
      </c>
      <c r="G530" s="274">
        <v>123</v>
      </c>
      <c r="H530" s="273">
        <v>66</v>
      </c>
    </row>
    <row r="531" spans="1:8" x14ac:dyDescent="0.2">
      <c r="A531" s="277">
        <v>340</v>
      </c>
      <c r="B531" s="275" t="s">
        <v>723</v>
      </c>
      <c r="C531" s="276" t="s">
        <v>730</v>
      </c>
      <c r="D531" s="276" t="s">
        <v>731</v>
      </c>
      <c r="E531" s="275" t="s">
        <v>227</v>
      </c>
      <c r="F531" s="275" t="s">
        <v>205</v>
      </c>
      <c r="G531" s="274">
        <v>132</v>
      </c>
      <c r="H531" s="273">
        <v>66</v>
      </c>
    </row>
    <row r="532" spans="1:8" x14ac:dyDescent="0.2">
      <c r="A532" s="277">
        <v>424</v>
      </c>
      <c r="B532" s="275" t="s">
        <v>723</v>
      </c>
      <c r="C532" s="276" t="s">
        <v>732</v>
      </c>
      <c r="D532" s="276" t="s">
        <v>733</v>
      </c>
      <c r="E532" s="275" t="s">
        <v>114</v>
      </c>
      <c r="F532" s="275" t="s">
        <v>114</v>
      </c>
      <c r="G532" s="274">
        <v>84</v>
      </c>
      <c r="H532" s="273">
        <v>46</v>
      </c>
    </row>
    <row r="533" spans="1:8" x14ac:dyDescent="0.2">
      <c r="A533" s="277">
        <v>342</v>
      </c>
      <c r="B533" s="275" t="s">
        <v>734</v>
      </c>
      <c r="C533" s="276" t="s">
        <v>735</v>
      </c>
      <c r="D533" s="276" t="s">
        <v>1044</v>
      </c>
      <c r="E533" s="275" t="s">
        <v>114</v>
      </c>
      <c r="F533" s="275" t="s">
        <v>114</v>
      </c>
      <c r="G533" s="274">
        <v>144</v>
      </c>
      <c r="H533" s="273">
        <v>56</v>
      </c>
    </row>
    <row r="534" spans="1:8" x14ac:dyDescent="0.2">
      <c r="A534" s="277">
        <v>343</v>
      </c>
      <c r="B534" s="275" t="s">
        <v>734</v>
      </c>
      <c r="C534" s="276" t="s">
        <v>736</v>
      </c>
      <c r="D534" s="276" t="s">
        <v>737</v>
      </c>
      <c r="E534" s="275" t="s">
        <v>200</v>
      </c>
      <c r="F534" s="275" t="s">
        <v>256</v>
      </c>
      <c r="G534" s="274">
        <v>126</v>
      </c>
      <c r="H534" s="273">
        <v>71</v>
      </c>
    </row>
    <row r="535" spans="1:8" x14ac:dyDescent="0.2">
      <c r="A535" s="277">
        <v>343</v>
      </c>
      <c r="B535" s="275" t="s">
        <v>734</v>
      </c>
      <c r="C535" s="276" t="s">
        <v>736</v>
      </c>
      <c r="D535" s="276" t="s">
        <v>737</v>
      </c>
      <c r="E535" s="275" t="s">
        <v>257</v>
      </c>
      <c r="F535" s="275" t="s">
        <v>258</v>
      </c>
      <c r="G535" s="274">
        <v>139</v>
      </c>
      <c r="H535" s="273">
        <v>71</v>
      </c>
    </row>
    <row r="536" spans="1:8" x14ac:dyDescent="0.2">
      <c r="A536" s="277">
        <v>343</v>
      </c>
      <c r="B536" s="275" t="s">
        <v>734</v>
      </c>
      <c r="C536" s="276" t="s">
        <v>736</v>
      </c>
      <c r="D536" s="276" t="s">
        <v>737</v>
      </c>
      <c r="E536" s="275" t="s">
        <v>259</v>
      </c>
      <c r="F536" s="275" t="s">
        <v>205</v>
      </c>
      <c r="G536" s="274">
        <v>126</v>
      </c>
      <c r="H536" s="273">
        <v>71</v>
      </c>
    </row>
    <row r="537" spans="1:8" x14ac:dyDescent="0.2">
      <c r="A537" s="277">
        <v>486</v>
      </c>
      <c r="B537" s="275" t="s">
        <v>734</v>
      </c>
      <c r="C537" s="276" t="s">
        <v>738</v>
      </c>
      <c r="D537" s="276" t="s">
        <v>483</v>
      </c>
      <c r="E537" s="275" t="s">
        <v>114</v>
      </c>
      <c r="F537" s="275" t="s">
        <v>114</v>
      </c>
      <c r="G537" s="274">
        <v>148</v>
      </c>
      <c r="H537" s="273">
        <v>46</v>
      </c>
    </row>
    <row r="538" spans="1:8" x14ac:dyDescent="0.2">
      <c r="A538" s="277">
        <v>344</v>
      </c>
      <c r="B538" s="275" t="s">
        <v>734</v>
      </c>
      <c r="C538" s="276" t="s">
        <v>739</v>
      </c>
      <c r="D538" s="276" t="s">
        <v>740</v>
      </c>
      <c r="E538" s="275" t="s">
        <v>114</v>
      </c>
      <c r="F538" s="275" t="s">
        <v>114</v>
      </c>
      <c r="G538" s="274">
        <v>102</v>
      </c>
      <c r="H538" s="273">
        <v>56</v>
      </c>
    </row>
    <row r="539" spans="1:8" x14ac:dyDescent="0.2">
      <c r="A539" s="277">
        <v>345</v>
      </c>
      <c r="B539" s="275" t="s">
        <v>734</v>
      </c>
      <c r="C539" s="276" t="s">
        <v>741</v>
      </c>
      <c r="D539" s="276" t="s">
        <v>742</v>
      </c>
      <c r="E539" s="275" t="s">
        <v>114</v>
      </c>
      <c r="F539" s="275" t="s">
        <v>114</v>
      </c>
      <c r="G539" s="274">
        <v>103</v>
      </c>
      <c r="H539" s="273">
        <v>51</v>
      </c>
    </row>
    <row r="540" spans="1:8" x14ac:dyDescent="0.2">
      <c r="A540" s="277">
        <v>346</v>
      </c>
      <c r="B540" s="275" t="s">
        <v>734</v>
      </c>
      <c r="C540" s="276" t="s">
        <v>396</v>
      </c>
      <c r="D540" s="276" t="s">
        <v>1043</v>
      </c>
      <c r="E540" s="275" t="s">
        <v>200</v>
      </c>
      <c r="F540" s="275" t="s">
        <v>208</v>
      </c>
      <c r="G540" s="274">
        <v>125</v>
      </c>
      <c r="H540" s="273">
        <v>71</v>
      </c>
    </row>
    <row r="541" spans="1:8" x14ac:dyDescent="0.2">
      <c r="A541" s="277">
        <v>346</v>
      </c>
      <c r="B541" s="275" t="s">
        <v>734</v>
      </c>
      <c r="C541" s="276" t="s">
        <v>396</v>
      </c>
      <c r="D541" s="276" t="s">
        <v>1043</v>
      </c>
      <c r="E541" s="275" t="s">
        <v>209</v>
      </c>
      <c r="F541" s="275" t="s">
        <v>258</v>
      </c>
      <c r="G541" s="274">
        <v>135</v>
      </c>
      <c r="H541" s="273">
        <v>71</v>
      </c>
    </row>
    <row r="542" spans="1:8" x14ac:dyDescent="0.2">
      <c r="A542" s="277">
        <v>346</v>
      </c>
      <c r="B542" s="275" t="s">
        <v>734</v>
      </c>
      <c r="C542" s="276" t="s">
        <v>396</v>
      </c>
      <c r="D542" s="276" t="s">
        <v>1043</v>
      </c>
      <c r="E542" s="275" t="s">
        <v>259</v>
      </c>
      <c r="F542" s="275" t="s">
        <v>205</v>
      </c>
      <c r="G542" s="274">
        <v>125</v>
      </c>
      <c r="H542" s="273">
        <v>71</v>
      </c>
    </row>
    <row r="543" spans="1:8" x14ac:dyDescent="0.2">
      <c r="A543" s="277">
        <v>347</v>
      </c>
      <c r="B543" s="275" t="s">
        <v>734</v>
      </c>
      <c r="C543" s="276" t="s">
        <v>302</v>
      </c>
      <c r="D543" s="276" t="s">
        <v>302</v>
      </c>
      <c r="E543" s="275" t="s">
        <v>114</v>
      </c>
      <c r="F543" s="275" t="s">
        <v>114</v>
      </c>
      <c r="G543" s="274">
        <v>92</v>
      </c>
      <c r="H543" s="273">
        <v>51</v>
      </c>
    </row>
    <row r="544" spans="1:8" x14ac:dyDescent="0.2">
      <c r="A544" s="277">
        <v>348</v>
      </c>
      <c r="B544" s="275" t="s">
        <v>734</v>
      </c>
      <c r="C544" s="276" t="s">
        <v>743</v>
      </c>
      <c r="D544" s="276" t="s">
        <v>743</v>
      </c>
      <c r="E544" s="275" t="s">
        <v>200</v>
      </c>
      <c r="F544" s="275" t="s">
        <v>201</v>
      </c>
      <c r="G544" s="274">
        <v>95</v>
      </c>
      <c r="H544" s="273">
        <v>56</v>
      </c>
    </row>
    <row r="545" spans="1:8" x14ac:dyDescent="0.2">
      <c r="A545" s="277">
        <v>348</v>
      </c>
      <c r="B545" s="275" t="s">
        <v>734</v>
      </c>
      <c r="C545" s="276" t="s">
        <v>743</v>
      </c>
      <c r="D545" s="276" t="s">
        <v>743</v>
      </c>
      <c r="E545" s="275" t="s">
        <v>202</v>
      </c>
      <c r="F545" s="275" t="s">
        <v>226</v>
      </c>
      <c r="G545" s="274">
        <v>124</v>
      </c>
      <c r="H545" s="273">
        <v>56</v>
      </c>
    </row>
    <row r="546" spans="1:8" x14ac:dyDescent="0.2">
      <c r="A546" s="277">
        <v>348</v>
      </c>
      <c r="B546" s="275" t="s">
        <v>734</v>
      </c>
      <c r="C546" s="276" t="s">
        <v>743</v>
      </c>
      <c r="D546" s="276" t="s">
        <v>743</v>
      </c>
      <c r="E546" s="275" t="s">
        <v>227</v>
      </c>
      <c r="F546" s="275" t="s">
        <v>205</v>
      </c>
      <c r="G546" s="274">
        <v>95</v>
      </c>
      <c r="H546" s="273">
        <v>56</v>
      </c>
    </row>
    <row r="547" spans="1:8" x14ac:dyDescent="0.2">
      <c r="A547" s="277">
        <v>416</v>
      </c>
      <c r="B547" s="275" t="s">
        <v>734</v>
      </c>
      <c r="C547" s="276" t="s">
        <v>744</v>
      </c>
      <c r="D547" s="276" t="s">
        <v>745</v>
      </c>
      <c r="E547" s="275" t="s">
        <v>114</v>
      </c>
      <c r="F547" s="275" t="s">
        <v>114</v>
      </c>
      <c r="G547" s="274">
        <v>84</v>
      </c>
      <c r="H547" s="273">
        <v>51</v>
      </c>
    </row>
    <row r="548" spans="1:8" ht="25.5" x14ac:dyDescent="0.2">
      <c r="A548" s="277">
        <v>350</v>
      </c>
      <c r="B548" s="275" t="s">
        <v>734</v>
      </c>
      <c r="C548" s="276" t="s">
        <v>746</v>
      </c>
      <c r="D548" s="276" t="s">
        <v>1042</v>
      </c>
      <c r="E548" s="275" t="s">
        <v>200</v>
      </c>
      <c r="F548" s="275" t="s">
        <v>201</v>
      </c>
      <c r="G548" s="274">
        <v>132</v>
      </c>
      <c r="H548" s="273">
        <v>71</v>
      </c>
    </row>
    <row r="549" spans="1:8" ht="25.5" x14ac:dyDescent="0.2">
      <c r="A549" s="277">
        <v>350</v>
      </c>
      <c r="B549" s="275" t="s">
        <v>734</v>
      </c>
      <c r="C549" s="276" t="s">
        <v>746</v>
      </c>
      <c r="D549" s="276" t="s">
        <v>1042</v>
      </c>
      <c r="E549" s="275" t="s">
        <v>202</v>
      </c>
      <c r="F549" s="275" t="s">
        <v>205</v>
      </c>
      <c r="G549" s="274">
        <v>121</v>
      </c>
      <c r="H549" s="273">
        <v>71</v>
      </c>
    </row>
    <row r="550" spans="1:8" x14ac:dyDescent="0.2">
      <c r="A550" s="277">
        <v>352</v>
      </c>
      <c r="B550" s="275" t="s">
        <v>734</v>
      </c>
      <c r="C550" s="276" t="s">
        <v>747</v>
      </c>
      <c r="D550" s="276" t="s">
        <v>748</v>
      </c>
      <c r="E550" s="275" t="s">
        <v>114</v>
      </c>
      <c r="F550" s="275" t="s">
        <v>114</v>
      </c>
      <c r="G550" s="274">
        <v>98</v>
      </c>
      <c r="H550" s="273">
        <v>56</v>
      </c>
    </row>
    <row r="551" spans="1:8" x14ac:dyDescent="0.2">
      <c r="A551" s="277">
        <v>353</v>
      </c>
      <c r="B551" s="275" t="s">
        <v>734</v>
      </c>
      <c r="C551" s="276" t="s">
        <v>749</v>
      </c>
      <c r="D551" s="276" t="s">
        <v>750</v>
      </c>
      <c r="E551" s="275" t="s">
        <v>114</v>
      </c>
      <c r="F551" s="275" t="s">
        <v>114</v>
      </c>
      <c r="G551" s="274">
        <v>88</v>
      </c>
      <c r="H551" s="273">
        <v>56</v>
      </c>
    </row>
    <row r="552" spans="1:8" x14ac:dyDescent="0.2">
      <c r="A552" s="277">
        <v>471</v>
      </c>
      <c r="B552" s="275" t="s">
        <v>734</v>
      </c>
      <c r="C552" s="276" t="s">
        <v>511</v>
      </c>
      <c r="D552" s="276" t="s">
        <v>511</v>
      </c>
      <c r="E552" s="275" t="s">
        <v>200</v>
      </c>
      <c r="F552" s="275" t="s">
        <v>258</v>
      </c>
      <c r="G552" s="274">
        <v>162</v>
      </c>
      <c r="H552" s="273">
        <v>56</v>
      </c>
    </row>
    <row r="553" spans="1:8" x14ac:dyDescent="0.2">
      <c r="A553" s="277">
        <v>471</v>
      </c>
      <c r="B553" s="275" t="s">
        <v>734</v>
      </c>
      <c r="C553" s="276" t="s">
        <v>511</v>
      </c>
      <c r="D553" s="276" t="s">
        <v>511</v>
      </c>
      <c r="E553" s="275" t="s">
        <v>259</v>
      </c>
      <c r="F553" s="275" t="s">
        <v>201</v>
      </c>
      <c r="G553" s="274">
        <v>172</v>
      </c>
      <c r="H553" s="273">
        <v>56</v>
      </c>
    </row>
    <row r="554" spans="1:8" x14ac:dyDescent="0.2">
      <c r="A554" s="277">
        <v>471</v>
      </c>
      <c r="B554" s="275" t="s">
        <v>734</v>
      </c>
      <c r="C554" s="276" t="s">
        <v>511</v>
      </c>
      <c r="D554" s="276" t="s">
        <v>511</v>
      </c>
      <c r="E554" s="275" t="s">
        <v>202</v>
      </c>
      <c r="F554" s="275" t="s">
        <v>205</v>
      </c>
      <c r="G554" s="274">
        <v>162</v>
      </c>
      <c r="H554" s="273">
        <v>56</v>
      </c>
    </row>
    <row r="555" spans="1:8" x14ac:dyDescent="0.2">
      <c r="A555" s="277">
        <v>487</v>
      </c>
      <c r="B555" s="275" t="s">
        <v>734</v>
      </c>
      <c r="C555" s="276" t="s">
        <v>751</v>
      </c>
      <c r="D555" s="276" t="s">
        <v>1041</v>
      </c>
      <c r="E555" s="275" t="s">
        <v>114</v>
      </c>
      <c r="F555" s="275" t="s">
        <v>114</v>
      </c>
      <c r="G555" s="274">
        <v>137</v>
      </c>
      <c r="H555" s="273">
        <v>46</v>
      </c>
    </row>
    <row r="556" spans="1:8" x14ac:dyDescent="0.2">
      <c r="A556" s="277">
        <v>354</v>
      </c>
      <c r="B556" s="275" t="s">
        <v>734</v>
      </c>
      <c r="C556" s="276" t="s">
        <v>752</v>
      </c>
      <c r="D556" s="276" t="s">
        <v>753</v>
      </c>
      <c r="E556" s="275" t="s">
        <v>114</v>
      </c>
      <c r="F556" s="275" t="s">
        <v>114</v>
      </c>
      <c r="G556" s="274">
        <v>108</v>
      </c>
      <c r="H556" s="273">
        <v>61</v>
      </c>
    </row>
    <row r="557" spans="1:8" x14ac:dyDescent="0.2">
      <c r="A557" s="277">
        <v>355</v>
      </c>
      <c r="B557" s="275" t="s">
        <v>734</v>
      </c>
      <c r="C557" s="276" t="s">
        <v>754</v>
      </c>
      <c r="D557" s="276" t="s">
        <v>725</v>
      </c>
      <c r="E557" s="275" t="s">
        <v>114</v>
      </c>
      <c r="F557" s="275" t="s">
        <v>114</v>
      </c>
      <c r="G557" s="274">
        <v>93</v>
      </c>
      <c r="H557" s="273">
        <v>51</v>
      </c>
    </row>
    <row r="558" spans="1:8" x14ac:dyDescent="0.2">
      <c r="A558" s="277">
        <v>490</v>
      </c>
      <c r="B558" s="275" t="s">
        <v>734</v>
      </c>
      <c r="C558" s="276" t="s">
        <v>1040</v>
      </c>
      <c r="D558" s="276" t="s">
        <v>1039</v>
      </c>
      <c r="E558" s="275" t="s">
        <v>200</v>
      </c>
      <c r="F558" s="275" t="s">
        <v>258</v>
      </c>
      <c r="G558" s="274">
        <v>147</v>
      </c>
      <c r="H558" s="273">
        <v>51</v>
      </c>
    </row>
    <row r="559" spans="1:8" x14ac:dyDescent="0.2">
      <c r="A559" s="277">
        <v>490</v>
      </c>
      <c r="B559" s="275" t="s">
        <v>734</v>
      </c>
      <c r="C559" s="276" t="s">
        <v>1040</v>
      </c>
      <c r="D559" s="276" t="s">
        <v>1039</v>
      </c>
      <c r="E559" s="275" t="s">
        <v>259</v>
      </c>
      <c r="F559" s="275" t="s">
        <v>201</v>
      </c>
      <c r="G559" s="274">
        <v>126</v>
      </c>
      <c r="H559" s="273">
        <v>51</v>
      </c>
    </row>
    <row r="560" spans="1:8" x14ac:dyDescent="0.2">
      <c r="A560" s="277">
        <v>490</v>
      </c>
      <c r="B560" s="275" t="s">
        <v>734</v>
      </c>
      <c r="C560" s="276" t="s">
        <v>1040</v>
      </c>
      <c r="D560" s="276" t="s">
        <v>1039</v>
      </c>
      <c r="E560" s="275" t="s">
        <v>202</v>
      </c>
      <c r="F560" s="275" t="s">
        <v>205</v>
      </c>
      <c r="G560" s="274">
        <v>147</v>
      </c>
      <c r="H560" s="273">
        <v>51</v>
      </c>
    </row>
    <row r="561" spans="1:8" x14ac:dyDescent="0.2">
      <c r="A561" s="277">
        <v>356</v>
      </c>
      <c r="B561" s="275" t="s">
        <v>734</v>
      </c>
      <c r="C561" s="276" t="s">
        <v>755</v>
      </c>
      <c r="D561" s="276" t="s">
        <v>756</v>
      </c>
      <c r="E561" s="275" t="s">
        <v>114</v>
      </c>
      <c r="F561" s="275" t="s">
        <v>114</v>
      </c>
      <c r="G561" s="274">
        <v>115</v>
      </c>
      <c r="H561" s="273">
        <v>66</v>
      </c>
    </row>
    <row r="562" spans="1:8" x14ac:dyDescent="0.2">
      <c r="A562" s="277">
        <v>357</v>
      </c>
      <c r="B562" s="275" t="s">
        <v>734</v>
      </c>
      <c r="C562" s="276" t="s">
        <v>757</v>
      </c>
      <c r="D562" s="276" t="s">
        <v>758</v>
      </c>
      <c r="E562" s="275" t="s">
        <v>200</v>
      </c>
      <c r="F562" s="275" t="s">
        <v>201</v>
      </c>
      <c r="G562" s="274">
        <v>88</v>
      </c>
      <c r="H562" s="273">
        <v>56</v>
      </c>
    </row>
    <row r="563" spans="1:8" x14ac:dyDescent="0.2">
      <c r="A563" s="277">
        <v>357</v>
      </c>
      <c r="B563" s="275" t="s">
        <v>734</v>
      </c>
      <c r="C563" s="276" t="s">
        <v>757</v>
      </c>
      <c r="D563" s="276" t="s">
        <v>758</v>
      </c>
      <c r="E563" s="275" t="s">
        <v>202</v>
      </c>
      <c r="F563" s="275" t="s">
        <v>203</v>
      </c>
      <c r="G563" s="274">
        <v>112</v>
      </c>
      <c r="H563" s="273">
        <v>56</v>
      </c>
    </row>
    <row r="564" spans="1:8" x14ac:dyDescent="0.2">
      <c r="A564" s="277">
        <v>357</v>
      </c>
      <c r="B564" s="275" t="s">
        <v>734</v>
      </c>
      <c r="C564" s="276" t="s">
        <v>757</v>
      </c>
      <c r="D564" s="276" t="s">
        <v>758</v>
      </c>
      <c r="E564" s="275" t="s">
        <v>204</v>
      </c>
      <c r="F564" s="275" t="s">
        <v>205</v>
      </c>
      <c r="G564" s="274">
        <v>88</v>
      </c>
      <c r="H564" s="273">
        <v>56</v>
      </c>
    </row>
    <row r="565" spans="1:8" x14ac:dyDescent="0.2">
      <c r="A565" s="277">
        <v>358</v>
      </c>
      <c r="B565" s="275" t="s">
        <v>734</v>
      </c>
      <c r="C565" s="276" t="s">
        <v>759</v>
      </c>
      <c r="D565" s="276" t="s">
        <v>760</v>
      </c>
      <c r="E565" s="275" t="s">
        <v>114</v>
      </c>
      <c r="F565" s="275" t="s">
        <v>114</v>
      </c>
      <c r="G565" s="274">
        <v>89</v>
      </c>
      <c r="H565" s="273">
        <v>51</v>
      </c>
    </row>
    <row r="566" spans="1:8" x14ac:dyDescent="0.2">
      <c r="A566" s="277">
        <v>474</v>
      </c>
      <c r="B566" s="275" t="s">
        <v>761</v>
      </c>
      <c r="C566" s="276" t="s">
        <v>762</v>
      </c>
      <c r="D566" s="276" t="s">
        <v>763</v>
      </c>
      <c r="E566" s="275" t="s">
        <v>200</v>
      </c>
      <c r="F566" s="275" t="s">
        <v>220</v>
      </c>
      <c r="G566" s="274">
        <v>130</v>
      </c>
      <c r="H566" s="273">
        <v>56</v>
      </c>
    </row>
    <row r="567" spans="1:8" x14ac:dyDescent="0.2">
      <c r="A567" s="277">
        <v>474</v>
      </c>
      <c r="B567" s="275" t="s">
        <v>761</v>
      </c>
      <c r="C567" s="276" t="s">
        <v>762</v>
      </c>
      <c r="D567" s="276" t="s">
        <v>763</v>
      </c>
      <c r="E567" s="275" t="s">
        <v>221</v>
      </c>
      <c r="F567" s="275" t="s">
        <v>210</v>
      </c>
      <c r="G567" s="274">
        <v>83</v>
      </c>
      <c r="H567" s="273">
        <v>56</v>
      </c>
    </row>
    <row r="568" spans="1:8" x14ac:dyDescent="0.2">
      <c r="A568" s="277">
        <v>474</v>
      </c>
      <c r="B568" s="275" t="s">
        <v>761</v>
      </c>
      <c r="C568" s="276" t="s">
        <v>762</v>
      </c>
      <c r="D568" s="276" t="s">
        <v>763</v>
      </c>
      <c r="E568" s="275" t="s">
        <v>211</v>
      </c>
      <c r="F568" s="275" t="s">
        <v>205</v>
      </c>
      <c r="G568" s="274">
        <v>130</v>
      </c>
      <c r="H568" s="273">
        <v>56</v>
      </c>
    </row>
    <row r="569" spans="1:8" x14ac:dyDescent="0.2">
      <c r="A569" s="277">
        <v>360</v>
      </c>
      <c r="B569" s="275" t="s">
        <v>761</v>
      </c>
      <c r="C569" s="276" t="s">
        <v>764</v>
      </c>
      <c r="D569" s="276" t="s">
        <v>315</v>
      </c>
      <c r="E569" s="275" t="s">
        <v>200</v>
      </c>
      <c r="F569" s="275" t="s">
        <v>256</v>
      </c>
      <c r="G569" s="274">
        <v>115</v>
      </c>
      <c r="H569" s="273">
        <v>71</v>
      </c>
    </row>
    <row r="570" spans="1:8" x14ac:dyDescent="0.2">
      <c r="A570" s="277">
        <v>360</v>
      </c>
      <c r="B570" s="275" t="s">
        <v>761</v>
      </c>
      <c r="C570" s="276" t="s">
        <v>764</v>
      </c>
      <c r="D570" s="276" t="s">
        <v>315</v>
      </c>
      <c r="E570" s="275" t="s">
        <v>257</v>
      </c>
      <c r="F570" s="275" t="s">
        <v>258</v>
      </c>
      <c r="G570" s="274">
        <v>246</v>
      </c>
      <c r="H570" s="273">
        <v>71</v>
      </c>
    </row>
    <row r="571" spans="1:8" x14ac:dyDescent="0.2">
      <c r="A571" s="277">
        <v>360</v>
      </c>
      <c r="B571" s="275" t="s">
        <v>761</v>
      </c>
      <c r="C571" s="276" t="s">
        <v>764</v>
      </c>
      <c r="D571" s="276" t="s">
        <v>315</v>
      </c>
      <c r="E571" s="275" t="s">
        <v>259</v>
      </c>
      <c r="F571" s="275" t="s">
        <v>205</v>
      </c>
      <c r="G571" s="274">
        <v>115</v>
      </c>
      <c r="H571" s="273">
        <v>71</v>
      </c>
    </row>
    <row r="572" spans="1:8" x14ac:dyDescent="0.2">
      <c r="A572" s="277">
        <v>361</v>
      </c>
      <c r="B572" s="275" t="s">
        <v>761</v>
      </c>
      <c r="C572" s="276" t="s">
        <v>765</v>
      </c>
      <c r="D572" s="276" t="s">
        <v>766</v>
      </c>
      <c r="E572" s="275" t="s">
        <v>114</v>
      </c>
      <c r="F572" s="275" t="s">
        <v>114</v>
      </c>
      <c r="G572" s="274">
        <v>87</v>
      </c>
      <c r="H572" s="273">
        <v>51</v>
      </c>
    </row>
    <row r="573" spans="1:8" x14ac:dyDescent="0.2">
      <c r="A573" s="277">
        <v>362</v>
      </c>
      <c r="B573" s="275" t="s">
        <v>761</v>
      </c>
      <c r="C573" s="276" t="s">
        <v>767</v>
      </c>
      <c r="D573" s="276" t="s">
        <v>1038</v>
      </c>
      <c r="E573" s="275" t="s">
        <v>200</v>
      </c>
      <c r="F573" s="275" t="s">
        <v>208</v>
      </c>
      <c r="G573" s="274">
        <v>106</v>
      </c>
      <c r="H573" s="273">
        <v>61</v>
      </c>
    </row>
    <row r="574" spans="1:8" x14ac:dyDescent="0.2">
      <c r="A574" s="277">
        <v>362</v>
      </c>
      <c r="B574" s="275" t="s">
        <v>761</v>
      </c>
      <c r="C574" s="276" t="s">
        <v>767</v>
      </c>
      <c r="D574" s="276" t="s">
        <v>1038</v>
      </c>
      <c r="E574" s="275" t="s">
        <v>209</v>
      </c>
      <c r="F574" s="275" t="s">
        <v>258</v>
      </c>
      <c r="G574" s="274">
        <v>117</v>
      </c>
      <c r="H574" s="273">
        <v>61</v>
      </c>
    </row>
    <row r="575" spans="1:8" x14ac:dyDescent="0.2">
      <c r="A575" s="277">
        <v>362</v>
      </c>
      <c r="B575" s="275" t="s">
        <v>761</v>
      </c>
      <c r="C575" s="276" t="s">
        <v>767</v>
      </c>
      <c r="D575" s="276" t="s">
        <v>1038</v>
      </c>
      <c r="E575" s="275" t="s">
        <v>259</v>
      </c>
      <c r="F575" s="275" t="s">
        <v>205</v>
      </c>
      <c r="G575" s="274">
        <v>106</v>
      </c>
      <c r="H575" s="273">
        <v>61</v>
      </c>
    </row>
    <row r="576" spans="1:8" x14ac:dyDescent="0.2">
      <c r="A576" s="277">
        <v>458</v>
      </c>
      <c r="B576" s="275" t="s">
        <v>117</v>
      </c>
      <c r="C576" s="276" t="s">
        <v>768</v>
      </c>
      <c r="D576" s="276" t="s">
        <v>671</v>
      </c>
      <c r="E576" s="275" t="s">
        <v>114</v>
      </c>
      <c r="F576" s="275" t="s">
        <v>114</v>
      </c>
      <c r="G576" s="274">
        <v>96</v>
      </c>
      <c r="H576" s="273">
        <v>46</v>
      </c>
    </row>
    <row r="577" spans="1:8" x14ac:dyDescent="0.2">
      <c r="A577" s="277">
        <v>459</v>
      </c>
      <c r="B577" s="275" t="s">
        <v>117</v>
      </c>
      <c r="C577" s="276" t="s">
        <v>769</v>
      </c>
      <c r="D577" s="276" t="s">
        <v>696</v>
      </c>
      <c r="E577" s="275" t="s">
        <v>114</v>
      </c>
      <c r="F577" s="275" t="s">
        <v>114</v>
      </c>
      <c r="G577" s="274">
        <v>96</v>
      </c>
      <c r="H577" s="273">
        <v>46</v>
      </c>
    </row>
    <row r="578" spans="1:8" ht="25.5" x14ac:dyDescent="0.2">
      <c r="A578" s="277">
        <v>363</v>
      </c>
      <c r="B578" s="275" t="s">
        <v>117</v>
      </c>
      <c r="C578" s="276" t="s">
        <v>770</v>
      </c>
      <c r="D578" s="276" t="s">
        <v>1037</v>
      </c>
      <c r="E578" s="275" t="s">
        <v>114</v>
      </c>
      <c r="F578" s="275" t="s">
        <v>114</v>
      </c>
      <c r="G578" s="274">
        <v>125</v>
      </c>
      <c r="H578" s="273">
        <v>56</v>
      </c>
    </row>
    <row r="579" spans="1:8" ht="25.5" x14ac:dyDescent="0.2">
      <c r="A579" s="277">
        <v>465</v>
      </c>
      <c r="B579" s="275" t="s">
        <v>117</v>
      </c>
      <c r="C579" s="276" t="s">
        <v>771</v>
      </c>
      <c r="D579" s="276" t="s">
        <v>772</v>
      </c>
      <c r="E579" s="275" t="s">
        <v>114</v>
      </c>
      <c r="F579" s="275" t="s">
        <v>114</v>
      </c>
      <c r="G579" s="274">
        <v>84</v>
      </c>
      <c r="H579" s="273">
        <v>56</v>
      </c>
    </row>
    <row r="580" spans="1:8" x14ac:dyDescent="0.2">
      <c r="A580" s="277">
        <v>428</v>
      </c>
      <c r="B580" s="275" t="s">
        <v>117</v>
      </c>
      <c r="C580" s="276" t="s">
        <v>773</v>
      </c>
      <c r="D580" s="276" t="s">
        <v>773</v>
      </c>
      <c r="E580" s="275" t="s">
        <v>114</v>
      </c>
      <c r="F580" s="275" t="s">
        <v>114</v>
      </c>
      <c r="G580" s="274">
        <v>96</v>
      </c>
      <c r="H580" s="273">
        <v>61</v>
      </c>
    </row>
    <row r="581" spans="1:8" x14ac:dyDescent="0.2">
      <c r="A581" s="277">
        <v>365</v>
      </c>
      <c r="B581" s="275" t="s">
        <v>117</v>
      </c>
      <c r="C581" s="276" t="s">
        <v>774</v>
      </c>
      <c r="D581" s="276" t="s">
        <v>1036</v>
      </c>
      <c r="E581" s="275" t="s">
        <v>114</v>
      </c>
      <c r="F581" s="275" t="s">
        <v>114</v>
      </c>
      <c r="G581" s="274">
        <v>90</v>
      </c>
      <c r="H581" s="273">
        <v>51</v>
      </c>
    </row>
    <row r="582" spans="1:8" x14ac:dyDescent="0.2">
      <c r="A582" s="277">
        <v>432</v>
      </c>
      <c r="B582" s="275" t="s">
        <v>117</v>
      </c>
      <c r="C582" s="276" t="s">
        <v>775</v>
      </c>
      <c r="D582" s="276" t="s">
        <v>1035</v>
      </c>
      <c r="E582" s="275" t="s">
        <v>114</v>
      </c>
      <c r="F582" s="275" t="s">
        <v>114</v>
      </c>
      <c r="G582" s="274">
        <v>87</v>
      </c>
      <c r="H582" s="273">
        <v>61</v>
      </c>
    </row>
    <row r="583" spans="1:8" x14ac:dyDescent="0.2">
      <c r="A583" s="277">
        <v>376</v>
      </c>
      <c r="B583" s="275" t="s">
        <v>117</v>
      </c>
      <c r="C583" s="276" t="s">
        <v>1034</v>
      </c>
      <c r="D583" s="276" t="s">
        <v>1033</v>
      </c>
      <c r="E583" s="275" t="s">
        <v>114</v>
      </c>
      <c r="F583" s="275" t="s">
        <v>114</v>
      </c>
      <c r="G583" s="274">
        <v>85</v>
      </c>
      <c r="H583" s="273">
        <v>56</v>
      </c>
    </row>
    <row r="584" spans="1:8" x14ac:dyDescent="0.2">
      <c r="A584" s="277">
        <v>368</v>
      </c>
      <c r="B584" s="275" t="s">
        <v>117</v>
      </c>
      <c r="C584" s="276" t="s">
        <v>389</v>
      </c>
      <c r="D584" s="276" t="s">
        <v>776</v>
      </c>
      <c r="E584" s="275" t="s">
        <v>114</v>
      </c>
      <c r="F584" s="275" t="s">
        <v>114</v>
      </c>
      <c r="G584" s="274">
        <v>113</v>
      </c>
      <c r="H584" s="273">
        <v>66</v>
      </c>
    </row>
    <row r="585" spans="1:8" x14ac:dyDescent="0.2">
      <c r="A585" s="277">
        <v>369</v>
      </c>
      <c r="B585" s="275" t="s">
        <v>117</v>
      </c>
      <c r="C585" s="276" t="s">
        <v>777</v>
      </c>
      <c r="D585" s="276" t="s">
        <v>778</v>
      </c>
      <c r="E585" s="275" t="s">
        <v>114</v>
      </c>
      <c r="F585" s="275" t="s">
        <v>114</v>
      </c>
      <c r="G585" s="274">
        <v>102</v>
      </c>
      <c r="H585" s="273">
        <v>51</v>
      </c>
    </row>
    <row r="586" spans="1:8" x14ac:dyDescent="0.2">
      <c r="A586" s="277">
        <v>371</v>
      </c>
      <c r="B586" s="275" t="s">
        <v>117</v>
      </c>
      <c r="C586" s="276" t="s">
        <v>779</v>
      </c>
      <c r="D586" s="276" t="s">
        <v>780</v>
      </c>
      <c r="E586" s="275" t="s">
        <v>200</v>
      </c>
      <c r="F586" s="275" t="s">
        <v>201</v>
      </c>
      <c r="G586" s="274">
        <v>94</v>
      </c>
      <c r="H586" s="273">
        <v>56</v>
      </c>
    </row>
    <row r="587" spans="1:8" x14ac:dyDescent="0.2">
      <c r="A587" s="277">
        <v>371</v>
      </c>
      <c r="B587" s="275" t="s">
        <v>117</v>
      </c>
      <c r="C587" s="276" t="s">
        <v>779</v>
      </c>
      <c r="D587" s="276" t="s">
        <v>780</v>
      </c>
      <c r="E587" s="275" t="s">
        <v>202</v>
      </c>
      <c r="F587" s="275" t="s">
        <v>226</v>
      </c>
      <c r="G587" s="274">
        <v>172</v>
      </c>
      <c r="H587" s="273">
        <v>56</v>
      </c>
    </row>
    <row r="588" spans="1:8" x14ac:dyDescent="0.2">
      <c r="A588" s="277">
        <v>371</v>
      </c>
      <c r="B588" s="275" t="s">
        <v>117</v>
      </c>
      <c r="C588" s="276" t="s">
        <v>779</v>
      </c>
      <c r="D588" s="276" t="s">
        <v>780</v>
      </c>
      <c r="E588" s="275" t="s">
        <v>227</v>
      </c>
      <c r="F588" s="275" t="s">
        <v>205</v>
      </c>
      <c r="G588" s="274">
        <v>94</v>
      </c>
      <c r="H588" s="273">
        <v>56</v>
      </c>
    </row>
    <row r="589" spans="1:8" x14ac:dyDescent="0.2">
      <c r="A589" s="277">
        <v>372</v>
      </c>
      <c r="B589" s="275" t="s">
        <v>117</v>
      </c>
      <c r="C589" s="276" t="s">
        <v>781</v>
      </c>
      <c r="D589" s="276" t="s">
        <v>782</v>
      </c>
      <c r="E589" s="275" t="s">
        <v>200</v>
      </c>
      <c r="F589" s="275" t="s">
        <v>253</v>
      </c>
      <c r="G589" s="274">
        <v>92</v>
      </c>
      <c r="H589" s="273">
        <v>56</v>
      </c>
    </row>
    <row r="590" spans="1:8" x14ac:dyDescent="0.2">
      <c r="A590" s="277">
        <v>372</v>
      </c>
      <c r="B590" s="275" t="s">
        <v>117</v>
      </c>
      <c r="C590" s="276" t="s">
        <v>781</v>
      </c>
      <c r="D590" s="276" t="s">
        <v>782</v>
      </c>
      <c r="E590" s="275" t="s">
        <v>254</v>
      </c>
      <c r="F590" s="275" t="s">
        <v>226</v>
      </c>
      <c r="G590" s="274">
        <v>147</v>
      </c>
      <c r="H590" s="273">
        <v>56</v>
      </c>
    </row>
    <row r="591" spans="1:8" x14ac:dyDescent="0.2">
      <c r="A591" s="277">
        <v>372</v>
      </c>
      <c r="B591" s="275" t="s">
        <v>117</v>
      </c>
      <c r="C591" s="276" t="s">
        <v>781</v>
      </c>
      <c r="D591" s="276" t="s">
        <v>782</v>
      </c>
      <c r="E591" s="275" t="s">
        <v>227</v>
      </c>
      <c r="F591" s="275" t="s">
        <v>205</v>
      </c>
      <c r="G591" s="274">
        <v>92</v>
      </c>
      <c r="H591" s="273">
        <v>56</v>
      </c>
    </row>
    <row r="592" spans="1:8" x14ac:dyDescent="0.2">
      <c r="A592" s="277">
        <v>373</v>
      </c>
      <c r="B592" s="275" t="s">
        <v>117</v>
      </c>
      <c r="C592" s="276" t="s">
        <v>783</v>
      </c>
      <c r="D592" s="276" t="s">
        <v>784</v>
      </c>
      <c r="E592" s="275" t="s">
        <v>114</v>
      </c>
      <c r="F592" s="275" t="s">
        <v>114</v>
      </c>
      <c r="G592" s="274">
        <v>108</v>
      </c>
      <c r="H592" s="273">
        <v>46</v>
      </c>
    </row>
    <row r="593" spans="1:8" ht="25.5" x14ac:dyDescent="0.2">
      <c r="A593" s="277">
        <v>374</v>
      </c>
      <c r="B593" s="275" t="s">
        <v>117</v>
      </c>
      <c r="C593" s="276" t="s">
        <v>785</v>
      </c>
      <c r="D593" s="276" t="s">
        <v>1032</v>
      </c>
      <c r="E593" s="275" t="s">
        <v>200</v>
      </c>
      <c r="F593" s="275" t="s">
        <v>258</v>
      </c>
      <c r="G593" s="274">
        <v>83</v>
      </c>
      <c r="H593" s="273">
        <v>51</v>
      </c>
    </row>
    <row r="594" spans="1:8" ht="25.5" x14ac:dyDescent="0.2">
      <c r="A594" s="277">
        <v>374</v>
      </c>
      <c r="B594" s="275" t="s">
        <v>117</v>
      </c>
      <c r="C594" s="276" t="s">
        <v>785</v>
      </c>
      <c r="D594" s="276" t="s">
        <v>1032</v>
      </c>
      <c r="E594" s="275" t="s">
        <v>259</v>
      </c>
      <c r="F594" s="275" t="s">
        <v>226</v>
      </c>
      <c r="G594" s="274">
        <v>96</v>
      </c>
      <c r="H594" s="273">
        <v>51</v>
      </c>
    </row>
    <row r="595" spans="1:8" ht="25.5" x14ac:dyDescent="0.2">
      <c r="A595" s="277">
        <v>374</v>
      </c>
      <c r="B595" s="275" t="s">
        <v>117</v>
      </c>
      <c r="C595" s="276" t="s">
        <v>785</v>
      </c>
      <c r="D595" s="276" t="s">
        <v>1032</v>
      </c>
      <c r="E595" s="275" t="s">
        <v>227</v>
      </c>
      <c r="F595" s="275" t="s">
        <v>205</v>
      </c>
      <c r="G595" s="274">
        <v>83</v>
      </c>
      <c r="H595" s="273">
        <v>51</v>
      </c>
    </row>
    <row r="596" spans="1:8" x14ac:dyDescent="0.2">
      <c r="A596" s="277">
        <v>377</v>
      </c>
      <c r="B596" s="275" t="s">
        <v>786</v>
      </c>
      <c r="C596" s="276" t="s">
        <v>1031</v>
      </c>
      <c r="D596" s="276" t="s">
        <v>1030</v>
      </c>
      <c r="E596" s="275" t="s">
        <v>200</v>
      </c>
      <c r="F596" s="275" t="s">
        <v>220</v>
      </c>
      <c r="G596" s="274">
        <v>125</v>
      </c>
      <c r="H596" s="273">
        <v>66</v>
      </c>
    </row>
    <row r="597" spans="1:8" x14ac:dyDescent="0.2">
      <c r="A597" s="277">
        <v>377</v>
      </c>
      <c r="B597" s="275" t="s">
        <v>786</v>
      </c>
      <c r="C597" s="276" t="s">
        <v>1031</v>
      </c>
      <c r="D597" s="276" t="s">
        <v>1030</v>
      </c>
      <c r="E597" s="275" t="s">
        <v>221</v>
      </c>
      <c r="F597" s="275" t="s">
        <v>224</v>
      </c>
      <c r="G597" s="274">
        <v>104</v>
      </c>
      <c r="H597" s="273">
        <v>66</v>
      </c>
    </row>
    <row r="598" spans="1:8" x14ac:dyDescent="0.2">
      <c r="A598" s="277">
        <v>377</v>
      </c>
      <c r="B598" s="275" t="s">
        <v>786</v>
      </c>
      <c r="C598" s="276" t="s">
        <v>1031</v>
      </c>
      <c r="D598" s="276" t="s">
        <v>1030</v>
      </c>
      <c r="E598" s="275" t="s">
        <v>225</v>
      </c>
      <c r="F598" s="275" t="s">
        <v>205</v>
      </c>
      <c r="G598" s="274">
        <v>125</v>
      </c>
      <c r="H598" s="273">
        <v>66</v>
      </c>
    </row>
    <row r="599" spans="1:8" x14ac:dyDescent="0.2">
      <c r="A599" s="277">
        <v>378</v>
      </c>
      <c r="B599" s="275" t="s">
        <v>786</v>
      </c>
      <c r="C599" s="276" t="s">
        <v>582</v>
      </c>
      <c r="D599" s="276" t="s">
        <v>787</v>
      </c>
      <c r="E599" s="275" t="s">
        <v>200</v>
      </c>
      <c r="F599" s="275" t="s">
        <v>220</v>
      </c>
      <c r="G599" s="274">
        <v>107</v>
      </c>
      <c r="H599" s="273">
        <v>71</v>
      </c>
    </row>
    <row r="600" spans="1:8" x14ac:dyDescent="0.2">
      <c r="A600" s="277">
        <v>378</v>
      </c>
      <c r="B600" s="275" t="s">
        <v>786</v>
      </c>
      <c r="C600" s="276" t="s">
        <v>582</v>
      </c>
      <c r="D600" s="276" t="s">
        <v>787</v>
      </c>
      <c r="E600" s="275" t="s">
        <v>221</v>
      </c>
      <c r="F600" s="275" t="s">
        <v>253</v>
      </c>
      <c r="G600" s="274">
        <v>90</v>
      </c>
      <c r="H600" s="273">
        <v>71</v>
      </c>
    </row>
    <row r="601" spans="1:8" x14ac:dyDescent="0.2">
      <c r="A601" s="277">
        <v>378</v>
      </c>
      <c r="B601" s="275" t="s">
        <v>786</v>
      </c>
      <c r="C601" s="276" t="s">
        <v>582</v>
      </c>
      <c r="D601" s="276" t="s">
        <v>787</v>
      </c>
      <c r="E601" s="275" t="s">
        <v>254</v>
      </c>
      <c r="F601" s="275" t="s">
        <v>205</v>
      </c>
      <c r="G601" s="274">
        <v>107</v>
      </c>
      <c r="H601" s="273">
        <v>71</v>
      </c>
    </row>
    <row r="602" spans="1:8" x14ac:dyDescent="0.2">
      <c r="A602" s="277">
        <v>379</v>
      </c>
      <c r="B602" s="275" t="s">
        <v>786</v>
      </c>
      <c r="C602" s="276" t="s">
        <v>788</v>
      </c>
      <c r="D602" s="276" t="s">
        <v>671</v>
      </c>
      <c r="E602" s="275" t="s">
        <v>114</v>
      </c>
      <c r="F602" s="275" t="s">
        <v>114</v>
      </c>
      <c r="G602" s="274">
        <v>110</v>
      </c>
      <c r="H602" s="273">
        <v>61</v>
      </c>
    </row>
    <row r="603" spans="1:8" x14ac:dyDescent="0.2">
      <c r="A603" s="277">
        <v>380</v>
      </c>
      <c r="B603" s="275" t="s">
        <v>786</v>
      </c>
      <c r="C603" s="276" t="s">
        <v>789</v>
      </c>
      <c r="D603" s="276" t="s">
        <v>790</v>
      </c>
      <c r="E603" s="275" t="s">
        <v>114</v>
      </c>
      <c r="F603" s="275" t="s">
        <v>114</v>
      </c>
      <c r="G603" s="274">
        <v>125</v>
      </c>
      <c r="H603" s="273">
        <v>71</v>
      </c>
    </row>
    <row r="604" spans="1:8" x14ac:dyDescent="0.2">
      <c r="A604" s="277">
        <v>381</v>
      </c>
      <c r="B604" s="275" t="s">
        <v>786</v>
      </c>
      <c r="C604" s="276" t="s">
        <v>791</v>
      </c>
      <c r="D604" s="276" t="s">
        <v>792</v>
      </c>
      <c r="E604" s="275" t="s">
        <v>114</v>
      </c>
      <c r="F604" s="275" t="s">
        <v>114</v>
      </c>
      <c r="G604" s="274">
        <v>97</v>
      </c>
      <c r="H604" s="273">
        <v>56</v>
      </c>
    </row>
    <row r="605" spans="1:8" ht="25.5" x14ac:dyDescent="0.2">
      <c r="A605" s="277">
        <v>382</v>
      </c>
      <c r="B605" s="275" t="s">
        <v>793</v>
      </c>
      <c r="C605" s="276" t="s">
        <v>794</v>
      </c>
      <c r="D605" s="276" t="s">
        <v>1029</v>
      </c>
      <c r="E605" s="275" t="s">
        <v>114</v>
      </c>
      <c r="F605" s="275" t="s">
        <v>114</v>
      </c>
      <c r="G605" s="274">
        <v>85</v>
      </c>
      <c r="H605" s="273">
        <v>61</v>
      </c>
    </row>
    <row r="606" spans="1:8" x14ac:dyDescent="0.2">
      <c r="A606" s="277">
        <v>384</v>
      </c>
      <c r="B606" s="275" t="s">
        <v>793</v>
      </c>
      <c r="C606" s="276" t="s">
        <v>795</v>
      </c>
      <c r="D606" s="276" t="s">
        <v>796</v>
      </c>
      <c r="E606" s="275" t="s">
        <v>114</v>
      </c>
      <c r="F606" s="275" t="s">
        <v>114</v>
      </c>
      <c r="G606" s="274">
        <v>107</v>
      </c>
      <c r="H606" s="273">
        <v>61</v>
      </c>
    </row>
    <row r="607" spans="1:8" x14ac:dyDescent="0.2">
      <c r="A607" s="277">
        <v>385</v>
      </c>
      <c r="B607" s="275" t="s">
        <v>793</v>
      </c>
      <c r="C607" s="276" t="s">
        <v>797</v>
      </c>
      <c r="D607" s="276" t="s">
        <v>798</v>
      </c>
      <c r="E607" s="275" t="s">
        <v>200</v>
      </c>
      <c r="F607" s="275" t="s">
        <v>253</v>
      </c>
      <c r="G607" s="274">
        <v>83</v>
      </c>
      <c r="H607" s="273">
        <v>51</v>
      </c>
    </row>
    <row r="608" spans="1:8" x14ac:dyDescent="0.2">
      <c r="A608" s="277">
        <v>385</v>
      </c>
      <c r="B608" s="275" t="s">
        <v>793</v>
      </c>
      <c r="C608" s="276" t="s">
        <v>797</v>
      </c>
      <c r="D608" s="276" t="s">
        <v>798</v>
      </c>
      <c r="E608" s="275" t="s">
        <v>254</v>
      </c>
      <c r="F608" s="275" t="s">
        <v>226</v>
      </c>
      <c r="G608" s="274">
        <v>104</v>
      </c>
      <c r="H608" s="273">
        <v>51</v>
      </c>
    </row>
    <row r="609" spans="1:8" x14ac:dyDescent="0.2">
      <c r="A609" s="277">
        <v>385</v>
      </c>
      <c r="B609" s="275" t="s">
        <v>793</v>
      </c>
      <c r="C609" s="276" t="s">
        <v>797</v>
      </c>
      <c r="D609" s="276" t="s">
        <v>798</v>
      </c>
      <c r="E609" s="275" t="s">
        <v>227</v>
      </c>
      <c r="F609" s="275" t="s">
        <v>205</v>
      </c>
      <c r="G609" s="274">
        <v>83</v>
      </c>
      <c r="H609" s="273">
        <v>51</v>
      </c>
    </row>
    <row r="610" spans="1:8" x14ac:dyDescent="0.2">
      <c r="A610" s="277">
        <v>386</v>
      </c>
      <c r="B610" s="275" t="s">
        <v>793</v>
      </c>
      <c r="C610" s="276" t="s">
        <v>799</v>
      </c>
      <c r="D610" s="276" t="s">
        <v>800</v>
      </c>
      <c r="E610" s="275" t="s">
        <v>114</v>
      </c>
      <c r="F610" s="275" t="s">
        <v>114</v>
      </c>
      <c r="G610" s="274">
        <v>98</v>
      </c>
      <c r="H610" s="273">
        <v>61</v>
      </c>
    </row>
    <row r="611" spans="1:8" x14ac:dyDescent="0.2">
      <c r="A611" s="277">
        <v>387</v>
      </c>
      <c r="B611" s="275" t="s">
        <v>793</v>
      </c>
      <c r="C611" s="276" t="s">
        <v>801</v>
      </c>
      <c r="D611" s="276" t="s">
        <v>1028</v>
      </c>
      <c r="E611" s="275" t="s">
        <v>200</v>
      </c>
      <c r="F611" s="275" t="s">
        <v>253</v>
      </c>
      <c r="G611" s="274">
        <v>95</v>
      </c>
      <c r="H611" s="273">
        <v>61</v>
      </c>
    </row>
    <row r="612" spans="1:8" x14ac:dyDescent="0.2">
      <c r="A612" s="277">
        <v>387</v>
      </c>
      <c r="B612" s="275" t="s">
        <v>793</v>
      </c>
      <c r="C612" s="276" t="s">
        <v>801</v>
      </c>
      <c r="D612" s="276" t="s">
        <v>1028</v>
      </c>
      <c r="E612" s="275" t="s">
        <v>254</v>
      </c>
      <c r="F612" s="275" t="s">
        <v>226</v>
      </c>
      <c r="G612" s="274">
        <v>128</v>
      </c>
      <c r="H612" s="273">
        <v>61</v>
      </c>
    </row>
    <row r="613" spans="1:8" x14ac:dyDescent="0.2">
      <c r="A613" s="277">
        <v>387</v>
      </c>
      <c r="B613" s="275" t="s">
        <v>793</v>
      </c>
      <c r="C613" s="276" t="s">
        <v>801</v>
      </c>
      <c r="D613" s="276" t="s">
        <v>1028</v>
      </c>
      <c r="E613" s="275" t="s">
        <v>227</v>
      </c>
      <c r="F613" s="275" t="s">
        <v>205</v>
      </c>
      <c r="G613" s="274">
        <v>95</v>
      </c>
      <c r="H613" s="273">
        <v>61</v>
      </c>
    </row>
    <row r="614" spans="1:8" x14ac:dyDescent="0.2">
      <c r="A614" s="277">
        <v>475</v>
      </c>
      <c r="B614" s="275" t="s">
        <v>793</v>
      </c>
      <c r="C614" s="276" t="s">
        <v>802</v>
      </c>
      <c r="D614" s="276" t="s">
        <v>803</v>
      </c>
      <c r="E614" s="275" t="s">
        <v>114</v>
      </c>
      <c r="F614" s="275" t="s">
        <v>114</v>
      </c>
      <c r="G614" s="274">
        <v>92</v>
      </c>
      <c r="H614" s="273">
        <v>46</v>
      </c>
    </row>
    <row r="615" spans="1:8" x14ac:dyDescent="0.2">
      <c r="A615" s="277">
        <v>389</v>
      </c>
      <c r="B615" s="275" t="s">
        <v>793</v>
      </c>
      <c r="C615" s="276" t="s">
        <v>804</v>
      </c>
      <c r="D615" s="276" t="s">
        <v>805</v>
      </c>
      <c r="E615" s="275" t="s">
        <v>200</v>
      </c>
      <c r="F615" s="275" t="s">
        <v>201</v>
      </c>
      <c r="G615" s="274">
        <v>156</v>
      </c>
      <c r="H615" s="273">
        <v>71</v>
      </c>
    </row>
    <row r="616" spans="1:8" x14ac:dyDescent="0.2">
      <c r="A616" s="277">
        <v>389</v>
      </c>
      <c r="B616" s="275" t="s">
        <v>793</v>
      </c>
      <c r="C616" s="276" t="s">
        <v>804</v>
      </c>
      <c r="D616" s="276" t="s">
        <v>805</v>
      </c>
      <c r="E616" s="275" t="s">
        <v>202</v>
      </c>
      <c r="F616" s="275" t="s">
        <v>226</v>
      </c>
      <c r="G616" s="274">
        <v>190</v>
      </c>
      <c r="H616" s="273">
        <v>71</v>
      </c>
    </row>
    <row r="617" spans="1:8" x14ac:dyDescent="0.2">
      <c r="A617" s="277">
        <v>389</v>
      </c>
      <c r="B617" s="275" t="s">
        <v>793</v>
      </c>
      <c r="C617" s="276" t="s">
        <v>804</v>
      </c>
      <c r="D617" s="276" t="s">
        <v>805</v>
      </c>
      <c r="E617" s="275" t="s">
        <v>227</v>
      </c>
      <c r="F617" s="275" t="s">
        <v>205</v>
      </c>
      <c r="G617" s="274">
        <v>156</v>
      </c>
      <c r="H617" s="273">
        <v>71</v>
      </c>
    </row>
    <row r="618" spans="1:8" x14ac:dyDescent="0.2">
      <c r="A618" s="277">
        <v>390</v>
      </c>
      <c r="B618" s="275" t="s">
        <v>793</v>
      </c>
      <c r="C618" s="276" t="s">
        <v>806</v>
      </c>
      <c r="D618" s="276" t="s">
        <v>806</v>
      </c>
      <c r="E618" s="275" t="s">
        <v>114</v>
      </c>
      <c r="F618" s="275" t="s">
        <v>114</v>
      </c>
      <c r="G618" s="274">
        <v>88</v>
      </c>
      <c r="H618" s="273">
        <v>61</v>
      </c>
    </row>
    <row r="619" spans="1:8" x14ac:dyDescent="0.2">
      <c r="A619" s="277">
        <v>391</v>
      </c>
      <c r="B619" s="275" t="s">
        <v>793</v>
      </c>
      <c r="C619" s="276" t="s">
        <v>807</v>
      </c>
      <c r="D619" s="276" t="s">
        <v>808</v>
      </c>
      <c r="E619" s="275" t="s">
        <v>114</v>
      </c>
      <c r="F619" s="275" t="s">
        <v>114</v>
      </c>
      <c r="G619" s="274">
        <v>109</v>
      </c>
      <c r="H619" s="273">
        <v>61</v>
      </c>
    </row>
    <row r="620" spans="1:8" x14ac:dyDescent="0.2">
      <c r="A620" s="277">
        <v>392</v>
      </c>
      <c r="B620" s="275" t="s">
        <v>793</v>
      </c>
      <c r="C620" s="276" t="s">
        <v>809</v>
      </c>
      <c r="D620" s="276" t="s">
        <v>1027</v>
      </c>
      <c r="E620" s="275" t="s">
        <v>114</v>
      </c>
      <c r="F620" s="275" t="s">
        <v>114</v>
      </c>
      <c r="G620" s="274">
        <v>137</v>
      </c>
      <c r="H620" s="273">
        <v>56</v>
      </c>
    </row>
    <row r="621" spans="1:8" x14ac:dyDescent="0.2">
      <c r="A621" s="277">
        <v>412</v>
      </c>
      <c r="B621" s="275" t="s">
        <v>810</v>
      </c>
      <c r="C621" s="276" t="s">
        <v>811</v>
      </c>
      <c r="D621" s="276" t="s">
        <v>812</v>
      </c>
      <c r="E621" s="275" t="s">
        <v>114</v>
      </c>
      <c r="F621" s="275" t="s">
        <v>114</v>
      </c>
      <c r="G621" s="274">
        <v>88</v>
      </c>
      <c r="H621" s="273">
        <v>46</v>
      </c>
    </row>
    <row r="622" spans="1:8" x14ac:dyDescent="0.2">
      <c r="A622" s="277">
        <v>393</v>
      </c>
      <c r="B622" s="275" t="s">
        <v>810</v>
      </c>
      <c r="C622" s="276" t="s">
        <v>813</v>
      </c>
      <c r="D622" s="276" t="s">
        <v>814</v>
      </c>
      <c r="E622" s="275" t="s">
        <v>114</v>
      </c>
      <c r="F622" s="275" t="s">
        <v>114</v>
      </c>
      <c r="G622" s="274">
        <v>95</v>
      </c>
      <c r="H622" s="273">
        <v>56</v>
      </c>
    </row>
    <row r="623" spans="1:8" x14ac:dyDescent="0.2">
      <c r="A623" s="277">
        <v>396</v>
      </c>
      <c r="B623" s="275" t="s">
        <v>810</v>
      </c>
      <c r="C623" s="276" t="s">
        <v>815</v>
      </c>
      <c r="D623" s="276" t="s">
        <v>816</v>
      </c>
      <c r="E623" s="275" t="s">
        <v>200</v>
      </c>
      <c r="F623" s="275" t="s">
        <v>220</v>
      </c>
      <c r="G623" s="274">
        <v>116</v>
      </c>
      <c r="H623" s="273">
        <v>56</v>
      </c>
    </row>
    <row r="624" spans="1:8" x14ac:dyDescent="0.2">
      <c r="A624" s="277">
        <v>396</v>
      </c>
      <c r="B624" s="275" t="s">
        <v>810</v>
      </c>
      <c r="C624" s="276" t="s">
        <v>815</v>
      </c>
      <c r="D624" s="276" t="s">
        <v>816</v>
      </c>
      <c r="E624" s="275" t="s">
        <v>221</v>
      </c>
      <c r="F624" s="275" t="s">
        <v>226</v>
      </c>
      <c r="G624" s="274">
        <v>97</v>
      </c>
      <c r="H624" s="273">
        <v>56</v>
      </c>
    </row>
    <row r="625" spans="1:8" x14ac:dyDescent="0.2">
      <c r="A625" s="277">
        <v>396</v>
      </c>
      <c r="B625" s="275" t="s">
        <v>810</v>
      </c>
      <c r="C625" s="276" t="s">
        <v>815</v>
      </c>
      <c r="D625" s="276" t="s">
        <v>816</v>
      </c>
      <c r="E625" s="275" t="s">
        <v>227</v>
      </c>
      <c r="F625" s="275" t="s">
        <v>205</v>
      </c>
      <c r="G625" s="274">
        <v>116</v>
      </c>
      <c r="H625" s="273">
        <v>56</v>
      </c>
    </row>
    <row r="626" spans="1:8" x14ac:dyDescent="0.2">
      <c r="A626" s="277">
        <v>397</v>
      </c>
      <c r="B626" s="275" t="s">
        <v>810</v>
      </c>
      <c r="C626" s="276" t="s">
        <v>817</v>
      </c>
      <c r="D626" s="276" t="s">
        <v>817</v>
      </c>
      <c r="E626" s="275" t="s">
        <v>114</v>
      </c>
      <c r="F626" s="275" t="s">
        <v>114</v>
      </c>
      <c r="G626" s="274">
        <v>107</v>
      </c>
      <c r="H626" s="273">
        <v>61</v>
      </c>
    </row>
    <row r="627" spans="1:8" x14ac:dyDescent="0.2">
      <c r="A627" s="277">
        <v>399</v>
      </c>
      <c r="B627" s="275" t="s">
        <v>810</v>
      </c>
      <c r="C627" s="276" t="s">
        <v>818</v>
      </c>
      <c r="D627" s="276" t="s">
        <v>819</v>
      </c>
      <c r="E627" s="275" t="s">
        <v>200</v>
      </c>
      <c r="F627" s="275" t="s">
        <v>201</v>
      </c>
      <c r="G627" s="274">
        <v>83</v>
      </c>
      <c r="H627" s="273">
        <v>51</v>
      </c>
    </row>
    <row r="628" spans="1:8" x14ac:dyDescent="0.2">
      <c r="A628" s="277">
        <v>399</v>
      </c>
      <c r="B628" s="275" t="s">
        <v>810</v>
      </c>
      <c r="C628" s="276" t="s">
        <v>818</v>
      </c>
      <c r="D628" s="276" t="s">
        <v>819</v>
      </c>
      <c r="E628" s="275" t="s">
        <v>202</v>
      </c>
      <c r="F628" s="275" t="s">
        <v>226</v>
      </c>
      <c r="G628" s="274">
        <v>93</v>
      </c>
      <c r="H628" s="273">
        <v>51</v>
      </c>
    </row>
    <row r="629" spans="1:8" x14ac:dyDescent="0.2">
      <c r="A629" s="277">
        <v>399</v>
      </c>
      <c r="B629" s="275" t="s">
        <v>810</v>
      </c>
      <c r="C629" s="276" t="s">
        <v>818</v>
      </c>
      <c r="D629" s="276" t="s">
        <v>819</v>
      </c>
      <c r="E629" s="275" t="s">
        <v>227</v>
      </c>
      <c r="F629" s="275" t="s">
        <v>205</v>
      </c>
      <c r="G629" s="274">
        <v>83</v>
      </c>
      <c r="H629" s="273">
        <v>51</v>
      </c>
    </row>
    <row r="630" spans="1:8" x14ac:dyDescent="0.2">
      <c r="A630" s="277">
        <v>400</v>
      </c>
      <c r="B630" s="275" t="s">
        <v>810</v>
      </c>
      <c r="C630" s="276" t="s">
        <v>820</v>
      </c>
      <c r="D630" s="276" t="s">
        <v>821</v>
      </c>
      <c r="E630" s="275" t="s">
        <v>200</v>
      </c>
      <c r="F630" s="275" t="s">
        <v>253</v>
      </c>
      <c r="G630" s="274">
        <v>83</v>
      </c>
      <c r="H630" s="273">
        <v>56</v>
      </c>
    </row>
    <row r="631" spans="1:8" x14ac:dyDescent="0.2">
      <c r="A631" s="277">
        <v>400</v>
      </c>
      <c r="B631" s="275" t="s">
        <v>810</v>
      </c>
      <c r="C631" s="276" t="s">
        <v>820</v>
      </c>
      <c r="D631" s="276" t="s">
        <v>821</v>
      </c>
      <c r="E631" s="275" t="s">
        <v>254</v>
      </c>
      <c r="F631" s="275" t="s">
        <v>226</v>
      </c>
      <c r="G631" s="274">
        <v>90</v>
      </c>
      <c r="H631" s="273">
        <v>56</v>
      </c>
    </row>
    <row r="632" spans="1:8" x14ac:dyDescent="0.2">
      <c r="A632" s="277">
        <v>400</v>
      </c>
      <c r="B632" s="275" t="s">
        <v>810</v>
      </c>
      <c r="C632" s="276" t="s">
        <v>820</v>
      </c>
      <c r="D632" s="276" t="s">
        <v>821</v>
      </c>
      <c r="E632" s="275" t="s">
        <v>227</v>
      </c>
      <c r="F632" s="275" t="s">
        <v>205</v>
      </c>
      <c r="G632" s="274">
        <v>83</v>
      </c>
      <c r="H632" s="273">
        <v>56</v>
      </c>
    </row>
    <row r="633" spans="1:8" x14ac:dyDescent="0.2">
      <c r="A633" s="277">
        <v>401</v>
      </c>
      <c r="B633" s="275" t="s">
        <v>810</v>
      </c>
      <c r="C633" s="276" t="s">
        <v>822</v>
      </c>
      <c r="D633" s="276" t="s">
        <v>482</v>
      </c>
      <c r="E633" s="275" t="s">
        <v>200</v>
      </c>
      <c r="F633" s="275" t="s">
        <v>201</v>
      </c>
      <c r="G633" s="274">
        <v>91</v>
      </c>
      <c r="H633" s="273">
        <v>61</v>
      </c>
    </row>
    <row r="634" spans="1:8" x14ac:dyDescent="0.2">
      <c r="A634" s="277">
        <v>401</v>
      </c>
      <c r="B634" s="275" t="s">
        <v>810</v>
      </c>
      <c r="C634" s="276" t="s">
        <v>822</v>
      </c>
      <c r="D634" s="276" t="s">
        <v>482</v>
      </c>
      <c r="E634" s="275" t="s">
        <v>202</v>
      </c>
      <c r="F634" s="275" t="s">
        <v>226</v>
      </c>
      <c r="G634" s="274">
        <v>110</v>
      </c>
      <c r="H634" s="273">
        <v>61</v>
      </c>
    </row>
    <row r="635" spans="1:8" x14ac:dyDescent="0.2">
      <c r="A635" s="277">
        <v>401</v>
      </c>
      <c r="B635" s="275" t="s">
        <v>810</v>
      </c>
      <c r="C635" s="276" t="s">
        <v>822</v>
      </c>
      <c r="D635" s="276" t="s">
        <v>482</v>
      </c>
      <c r="E635" s="275" t="s">
        <v>227</v>
      </c>
      <c r="F635" s="275" t="s">
        <v>205</v>
      </c>
      <c r="G635" s="274">
        <v>91</v>
      </c>
      <c r="H635" s="273">
        <v>61</v>
      </c>
    </row>
    <row r="636" spans="1:8" x14ac:dyDescent="0.2">
      <c r="A636" s="277">
        <v>403</v>
      </c>
      <c r="B636" s="275" t="s">
        <v>118</v>
      </c>
      <c r="C636" s="276" t="s">
        <v>713</v>
      </c>
      <c r="D636" s="276" t="s">
        <v>823</v>
      </c>
      <c r="E636" s="275" t="s">
        <v>114</v>
      </c>
      <c r="F636" s="275" t="s">
        <v>114</v>
      </c>
      <c r="G636" s="274">
        <v>105</v>
      </c>
      <c r="H636" s="273">
        <v>51</v>
      </c>
    </row>
    <row r="637" spans="1:8" x14ac:dyDescent="0.2">
      <c r="A637" s="277">
        <v>405</v>
      </c>
      <c r="B637" s="275" t="s">
        <v>118</v>
      </c>
      <c r="C637" s="276" t="s">
        <v>824</v>
      </c>
      <c r="D637" s="276" t="s">
        <v>825</v>
      </c>
      <c r="E637" s="275" t="s">
        <v>114</v>
      </c>
      <c r="F637" s="275" t="s">
        <v>114</v>
      </c>
      <c r="G637" s="274">
        <v>98</v>
      </c>
      <c r="H637" s="273">
        <v>46</v>
      </c>
    </row>
    <row r="638" spans="1:8" x14ac:dyDescent="0.2">
      <c r="A638" s="277">
        <v>406</v>
      </c>
      <c r="B638" s="275" t="s">
        <v>118</v>
      </c>
      <c r="C638" s="276" t="s">
        <v>826</v>
      </c>
      <c r="D638" s="276" t="s">
        <v>437</v>
      </c>
      <c r="E638" s="275" t="s">
        <v>114</v>
      </c>
      <c r="F638" s="275" t="s">
        <v>114</v>
      </c>
      <c r="G638" s="274">
        <v>86</v>
      </c>
      <c r="H638" s="273">
        <v>56</v>
      </c>
    </row>
    <row r="639" spans="1:8" x14ac:dyDescent="0.2">
      <c r="A639" s="277">
        <v>407</v>
      </c>
      <c r="B639" s="275" t="s">
        <v>118</v>
      </c>
      <c r="C639" s="276" t="s">
        <v>827</v>
      </c>
      <c r="D639" s="276" t="s">
        <v>828</v>
      </c>
      <c r="E639" s="275" t="s">
        <v>114</v>
      </c>
      <c r="F639" s="275" t="s">
        <v>114</v>
      </c>
      <c r="G639" s="274">
        <v>106</v>
      </c>
      <c r="H639" s="273">
        <v>46</v>
      </c>
    </row>
    <row r="640" spans="1:8" x14ac:dyDescent="0.2">
      <c r="A640" s="277">
        <v>408</v>
      </c>
      <c r="B640" s="275" t="s">
        <v>829</v>
      </c>
      <c r="C640" s="276" t="s">
        <v>830</v>
      </c>
      <c r="D640" s="276" t="s">
        <v>831</v>
      </c>
      <c r="E640" s="275" t="s">
        <v>200</v>
      </c>
      <c r="F640" s="275" t="s">
        <v>256</v>
      </c>
      <c r="G640" s="274">
        <v>93</v>
      </c>
      <c r="H640" s="273">
        <v>51</v>
      </c>
    </row>
    <row r="641" spans="1:8" x14ac:dyDescent="0.2">
      <c r="A641" s="277">
        <v>408</v>
      </c>
      <c r="B641" s="275" t="s">
        <v>829</v>
      </c>
      <c r="C641" s="276" t="s">
        <v>830</v>
      </c>
      <c r="D641" s="276" t="s">
        <v>831</v>
      </c>
      <c r="E641" s="275" t="s">
        <v>257</v>
      </c>
      <c r="F641" s="275" t="s">
        <v>258</v>
      </c>
      <c r="G641" s="274">
        <v>86</v>
      </c>
      <c r="H641" s="273">
        <v>51</v>
      </c>
    </row>
    <row r="642" spans="1:8" x14ac:dyDescent="0.2">
      <c r="A642" s="277">
        <v>408</v>
      </c>
      <c r="B642" s="275" t="s">
        <v>829</v>
      </c>
      <c r="C642" s="276" t="s">
        <v>830</v>
      </c>
      <c r="D642" s="276" t="s">
        <v>831</v>
      </c>
      <c r="E642" s="275" t="s">
        <v>259</v>
      </c>
      <c r="F642" s="275" t="s">
        <v>201</v>
      </c>
      <c r="G642" s="274">
        <v>96</v>
      </c>
      <c r="H642" s="273">
        <v>51</v>
      </c>
    </row>
    <row r="643" spans="1:8" x14ac:dyDescent="0.2">
      <c r="A643" s="277">
        <v>408</v>
      </c>
      <c r="B643" s="275" t="s">
        <v>829</v>
      </c>
      <c r="C643" s="276" t="s">
        <v>830</v>
      </c>
      <c r="D643" s="276" t="s">
        <v>831</v>
      </c>
      <c r="E643" s="275" t="s">
        <v>202</v>
      </c>
      <c r="F643" s="275" t="s">
        <v>205</v>
      </c>
      <c r="G643" s="274">
        <v>130</v>
      </c>
      <c r="H643" s="273">
        <v>51</v>
      </c>
    </row>
    <row r="644" spans="1:8" x14ac:dyDescent="0.2">
      <c r="A644" s="277">
        <v>453</v>
      </c>
      <c r="B644" s="275" t="s">
        <v>829</v>
      </c>
      <c r="C644" s="276" t="s">
        <v>832</v>
      </c>
      <c r="D644" s="276" t="s">
        <v>833</v>
      </c>
      <c r="E644" s="275" t="s">
        <v>114</v>
      </c>
      <c r="F644" s="275" t="s">
        <v>114</v>
      </c>
      <c r="G644" s="274">
        <v>91</v>
      </c>
      <c r="H644" s="273">
        <v>51</v>
      </c>
    </row>
    <row r="645" spans="1:8" x14ac:dyDescent="0.2">
      <c r="A645" s="277">
        <v>449</v>
      </c>
      <c r="B645" s="275" t="s">
        <v>829</v>
      </c>
      <c r="C645" s="276" t="s">
        <v>834</v>
      </c>
      <c r="D645" s="276" t="s">
        <v>116</v>
      </c>
      <c r="E645" s="275" t="s">
        <v>114</v>
      </c>
      <c r="F645" s="275" t="s">
        <v>114</v>
      </c>
      <c r="G645" s="274">
        <v>85</v>
      </c>
      <c r="H645" s="273">
        <v>51</v>
      </c>
    </row>
    <row r="646" spans="1:8" x14ac:dyDescent="0.2">
      <c r="A646" s="277">
        <v>409</v>
      </c>
      <c r="B646" s="275" t="s">
        <v>829</v>
      </c>
      <c r="C646" s="276" t="s">
        <v>835</v>
      </c>
      <c r="D646" s="276" t="s">
        <v>1026</v>
      </c>
      <c r="E646" s="275" t="s">
        <v>200</v>
      </c>
      <c r="F646" s="275" t="s">
        <v>253</v>
      </c>
      <c r="G646" s="274">
        <v>117</v>
      </c>
      <c r="H646" s="273">
        <v>56</v>
      </c>
    </row>
    <row r="647" spans="1:8" x14ac:dyDescent="0.2">
      <c r="A647" s="277">
        <v>409</v>
      </c>
      <c r="B647" s="275" t="s">
        <v>829</v>
      </c>
      <c r="C647" s="276" t="s">
        <v>835</v>
      </c>
      <c r="D647" s="276" t="s">
        <v>1026</v>
      </c>
      <c r="E647" s="275" t="s">
        <v>254</v>
      </c>
      <c r="F647" s="275" t="s">
        <v>226</v>
      </c>
      <c r="G647" s="274">
        <v>179</v>
      </c>
      <c r="H647" s="273">
        <v>56</v>
      </c>
    </row>
    <row r="648" spans="1:8" x14ac:dyDescent="0.2">
      <c r="A648" s="277">
        <v>409</v>
      </c>
      <c r="B648" s="275" t="s">
        <v>829</v>
      </c>
      <c r="C648" s="276" t="s">
        <v>835</v>
      </c>
      <c r="D648" s="276" t="s">
        <v>1026</v>
      </c>
      <c r="E648" s="275" t="s">
        <v>227</v>
      </c>
      <c r="F648" s="275" t="s">
        <v>205</v>
      </c>
      <c r="G648" s="274">
        <v>117</v>
      </c>
      <c r="H648" s="273">
        <v>56</v>
      </c>
    </row>
  </sheetData>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E15" sqref="E15"/>
    </sheetView>
  </sheetViews>
  <sheetFormatPr defaultRowHeight="15" x14ac:dyDescent="0.25"/>
  <cols>
    <col min="3" max="3" width="26.140625" customWidth="1"/>
    <col min="13" max="13" width="13.5703125" customWidth="1"/>
    <col min="14" max="14" width="9.85546875" bestFit="1" customWidth="1"/>
  </cols>
  <sheetData>
    <row r="1" spans="1:13" x14ac:dyDescent="0.25">
      <c r="B1" s="19" t="s">
        <v>15</v>
      </c>
    </row>
    <row r="2" spans="1:13" x14ac:dyDescent="0.25">
      <c r="B2" s="19"/>
    </row>
    <row r="3" spans="1:13" x14ac:dyDescent="0.25">
      <c r="B3" s="20" t="s">
        <v>16</v>
      </c>
    </row>
    <row r="4" spans="1:13" x14ac:dyDescent="0.25">
      <c r="B4" s="20"/>
    </row>
    <row r="5" spans="1:13" x14ac:dyDescent="0.25">
      <c r="B5" s="21" t="s">
        <v>17</v>
      </c>
    </row>
    <row r="6" spans="1:13" ht="15.75" thickBot="1" x14ac:dyDescent="0.3">
      <c r="B6" s="21" t="s">
        <v>58</v>
      </c>
      <c r="G6" t="s">
        <v>1016</v>
      </c>
    </row>
    <row r="7" spans="1:13" ht="72.75" customHeight="1" thickBot="1" x14ac:dyDescent="0.3">
      <c r="A7" s="264" t="s">
        <v>55</v>
      </c>
      <c r="B7" s="22" t="s">
        <v>18</v>
      </c>
      <c r="C7" s="24" t="s">
        <v>19</v>
      </c>
      <c r="D7" s="23" t="s">
        <v>20</v>
      </c>
      <c r="E7" s="23" t="s">
        <v>21</v>
      </c>
      <c r="G7" s="53" t="s">
        <v>55</v>
      </c>
      <c r="H7" s="22" t="s">
        <v>18</v>
      </c>
      <c r="I7" s="24" t="s">
        <v>19</v>
      </c>
      <c r="J7" s="23" t="s">
        <v>20</v>
      </c>
      <c r="K7" s="23" t="s">
        <v>21</v>
      </c>
    </row>
    <row r="8" spans="1:13" ht="45.75" thickBot="1" x14ac:dyDescent="0.3">
      <c r="A8" s="267" t="s">
        <v>54</v>
      </c>
      <c r="B8" s="25" t="s">
        <v>22</v>
      </c>
      <c r="C8" s="269">
        <v>41.17</v>
      </c>
      <c r="D8" s="268" t="s">
        <v>1020</v>
      </c>
      <c r="E8" s="270">
        <f>C8+1.1*C8</f>
        <v>86.457000000000008</v>
      </c>
      <c r="G8" s="141" t="s">
        <v>123</v>
      </c>
      <c r="H8" s="25" t="s">
        <v>121</v>
      </c>
      <c r="I8" s="26">
        <v>52.11</v>
      </c>
      <c r="J8" s="137" t="s">
        <v>122</v>
      </c>
      <c r="K8" s="26">
        <f>I8+(1.1*I8)</f>
        <v>109.43100000000001</v>
      </c>
      <c r="M8" s="236">
        <f>12*K8</f>
        <v>1313.172</v>
      </c>
    </row>
    <row r="9" spans="1:13" ht="75.75" thickBot="1" x14ac:dyDescent="0.3">
      <c r="A9" s="267" t="s">
        <v>56</v>
      </c>
      <c r="B9" s="25" t="s">
        <v>23</v>
      </c>
      <c r="C9" s="269">
        <v>23.74</v>
      </c>
      <c r="D9" s="268" t="s">
        <v>1021</v>
      </c>
      <c r="E9" s="270">
        <f>C9+1.1*C9</f>
        <v>49.853999999999999</v>
      </c>
      <c r="G9" s="55" t="s">
        <v>54</v>
      </c>
      <c r="H9" s="25" t="s">
        <v>22</v>
      </c>
      <c r="I9" s="26">
        <v>41.17</v>
      </c>
      <c r="J9" s="137" t="s">
        <v>1020</v>
      </c>
      <c r="K9" s="26">
        <f>I9+(1.1*I9)</f>
        <v>86.457000000000008</v>
      </c>
      <c r="M9" s="236">
        <f>K9*18</f>
        <v>1556.2260000000001</v>
      </c>
    </row>
    <row r="10" spans="1:13" ht="75.75" thickBot="1" x14ac:dyDescent="0.3">
      <c r="A10" s="27" t="s">
        <v>1022</v>
      </c>
      <c r="B10" s="20"/>
      <c r="G10" s="56" t="s">
        <v>56</v>
      </c>
      <c r="H10" s="50" t="s">
        <v>23</v>
      </c>
      <c r="I10" s="51">
        <v>23.74</v>
      </c>
      <c r="J10" s="137" t="s">
        <v>1021</v>
      </c>
      <c r="K10" s="26">
        <f>I10+(1.1*I10)</f>
        <v>49.853999999999999</v>
      </c>
      <c r="M10" s="236">
        <f>SUM(M8:M9)</f>
        <v>2869.3980000000001</v>
      </c>
    </row>
    <row r="11" spans="1:13" ht="45.75" thickBot="1" x14ac:dyDescent="0.3">
      <c r="B11" s="20"/>
      <c r="G11" s="54" t="s">
        <v>53</v>
      </c>
      <c r="H11" s="55" t="s">
        <v>57</v>
      </c>
      <c r="I11" s="52">
        <v>14.42</v>
      </c>
      <c r="J11" s="137" t="s">
        <v>1023</v>
      </c>
      <c r="K11" s="26">
        <f>I11+(1.1*I11)</f>
        <v>30.282000000000004</v>
      </c>
    </row>
    <row r="12" spans="1:13" x14ac:dyDescent="0.25">
      <c r="A12" s="27" t="s">
        <v>1025</v>
      </c>
      <c r="G12" s="27" t="s">
        <v>1024</v>
      </c>
      <c r="H12" s="35"/>
      <c r="I12" s="138"/>
      <c r="J12" s="139"/>
      <c r="K12" s="140"/>
    </row>
    <row r="13" spans="1:13" x14ac:dyDescent="0.25">
      <c r="G13" s="27"/>
    </row>
    <row r="19" spans="3:3" x14ac:dyDescent="0.25">
      <c r="C19" s="49"/>
    </row>
  </sheetData>
  <hyperlinks>
    <hyperlink ref="C7" location="_ftn1" display="_ftn1"/>
    <hyperlink ref="I7" location="_ftn1" display="_ftn1"/>
    <hyperlink ref="A12" location="_ftnref1" display="_ftnref1"/>
    <hyperlink ref="A10" r:id="rId1" location="17-0000 (May 20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workbookViewId="0">
      <selection activeCell="E15" sqref="E15"/>
    </sheetView>
  </sheetViews>
  <sheetFormatPr defaultRowHeight="15" x14ac:dyDescent="0.25"/>
  <cols>
    <col min="1" max="1" width="29.5703125" customWidth="1"/>
    <col min="2" max="2" width="18.28515625" customWidth="1"/>
    <col min="3" max="3" width="25" style="6" customWidth="1"/>
    <col min="4" max="4" width="22.85546875" customWidth="1"/>
    <col min="5" max="5" width="32.5703125" customWidth="1"/>
  </cols>
  <sheetData>
    <row r="1" spans="1:10" x14ac:dyDescent="0.25">
      <c r="B1" s="28" t="s">
        <v>24</v>
      </c>
      <c r="C1" s="29" t="s">
        <v>25</v>
      </c>
      <c r="D1" s="28" t="s">
        <v>1105</v>
      </c>
      <c r="E1" s="28" t="s">
        <v>27</v>
      </c>
      <c r="F1" s="117" t="s">
        <v>94</v>
      </c>
      <c r="G1" s="28" t="s">
        <v>26</v>
      </c>
      <c r="H1" s="28" t="s">
        <v>95</v>
      </c>
    </row>
    <row r="2" spans="1:10" ht="30" x14ac:dyDescent="0.25">
      <c r="A2" s="259" t="s">
        <v>28</v>
      </c>
      <c r="B2" s="31">
        <v>10067</v>
      </c>
      <c r="C2" s="32" t="s">
        <v>29</v>
      </c>
      <c r="D2" s="30">
        <f>B2*((0.07*(1+0.07)^15)/((1+0.07)^15-1))</f>
        <v>1105.3024868650327</v>
      </c>
      <c r="E2" s="47" t="s">
        <v>30</v>
      </c>
      <c r="F2" s="118">
        <f>(0.07*(1+0.07)^15)/((1+0.07)^15-1)</f>
        <v>0.10979462470100652</v>
      </c>
      <c r="G2">
        <f>F2*B2</f>
        <v>1105.3024868650327</v>
      </c>
    </row>
    <row r="3" spans="1:10" x14ac:dyDescent="0.25">
      <c r="A3" s="259" t="s">
        <v>31</v>
      </c>
      <c r="B3" s="270">
        <f>8*E26</f>
        <v>691.65600000000006</v>
      </c>
      <c r="C3" s="32" t="s">
        <v>32</v>
      </c>
      <c r="D3" s="30">
        <f>B3</f>
        <v>691.65600000000006</v>
      </c>
      <c r="E3" s="120" t="s">
        <v>33</v>
      </c>
    </row>
    <row r="4" spans="1:10" ht="30" x14ac:dyDescent="0.25">
      <c r="A4" s="293" t="s">
        <v>34</v>
      </c>
      <c r="B4" s="31">
        <f>12*E26+B2</f>
        <v>11104.484</v>
      </c>
      <c r="C4" s="32" t="s">
        <v>35</v>
      </c>
      <c r="D4" s="30">
        <f>B2*((0.07*(1+0.07)^5)/((1+0.07)^5-1))</f>
        <v>2455.2476209413121</v>
      </c>
      <c r="E4" s="47" t="s">
        <v>36</v>
      </c>
      <c r="F4" s="118">
        <f>(0.07*(1+0.07)^5)/((1+0.07)^5-1)</f>
        <v>0.24389069444137401</v>
      </c>
      <c r="G4">
        <f>B2*F4</f>
        <v>2455.2476209413121</v>
      </c>
      <c r="H4">
        <f>F4*12</f>
        <v>2.9266883332964881</v>
      </c>
      <c r="J4" s="48" t="s">
        <v>52</v>
      </c>
    </row>
    <row r="5" spans="1:10" ht="45" x14ac:dyDescent="0.25">
      <c r="A5" s="32" t="s">
        <v>37</v>
      </c>
      <c r="B5" s="33">
        <v>1</v>
      </c>
      <c r="C5" s="34" t="s">
        <v>38</v>
      </c>
      <c r="D5" s="35"/>
      <c r="E5" s="35"/>
    </row>
    <row r="6" spans="1:10" ht="30" x14ac:dyDescent="0.25">
      <c r="A6" s="32" t="s">
        <v>39</v>
      </c>
      <c r="B6" s="33">
        <f>B5*0.254</f>
        <v>0.254</v>
      </c>
      <c r="C6" s="34" t="s">
        <v>40</v>
      </c>
      <c r="D6" s="35">
        <f>25/(30*3.28)</f>
        <v>0.25406504065040653</v>
      </c>
      <c r="E6" s="35"/>
    </row>
    <row r="7" spans="1:10" ht="30" x14ac:dyDescent="0.25">
      <c r="A7" s="32" t="s">
        <v>41</v>
      </c>
      <c r="B7" s="294">
        <f>E27</f>
        <v>49.853999999999999</v>
      </c>
      <c r="C7" s="27" t="s">
        <v>42</v>
      </c>
    </row>
    <row r="8" spans="1:10" x14ac:dyDescent="0.25">
      <c r="A8" s="32" t="s">
        <v>43</v>
      </c>
      <c r="B8" s="5">
        <v>125</v>
      </c>
      <c r="C8" s="27" t="s">
        <v>44</v>
      </c>
    </row>
    <row r="9" spans="1:10" x14ac:dyDescent="0.25">
      <c r="A9" s="32" t="s">
        <v>45</v>
      </c>
      <c r="B9" s="5">
        <v>350</v>
      </c>
      <c r="C9" s="27" t="s">
        <v>44</v>
      </c>
    </row>
    <row r="10" spans="1:10" x14ac:dyDescent="0.25">
      <c r="A10" s="32" t="s">
        <v>46</v>
      </c>
      <c r="B10" s="5">
        <v>1100</v>
      </c>
      <c r="C10" s="27" t="s">
        <v>44</v>
      </c>
    </row>
    <row r="11" spans="1:10" ht="30" x14ac:dyDescent="0.25">
      <c r="A11" s="36" t="s">
        <v>47</v>
      </c>
      <c r="B11">
        <v>50</v>
      </c>
      <c r="C11" s="27" t="s">
        <v>48</v>
      </c>
    </row>
    <row r="12" spans="1:10" ht="60" x14ac:dyDescent="0.25">
      <c r="A12" s="36" t="s">
        <v>49</v>
      </c>
      <c r="B12" s="33">
        <v>1</v>
      </c>
    </row>
    <row r="13" spans="1:10" ht="45" x14ac:dyDescent="0.25">
      <c r="A13" s="295" t="s">
        <v>1254</v>
      </c>
      <c r="B13">
        <f>(2*85)*1.2</f>
        <v>204</v>
      </c>
      <c r="C13" s="6" t="s">
        <v>1106</v>
      </c>
      <c r="D13" t="s">
        <v>1107</v>
      </c>
      <c r="F13">
        <f>B13/4</f>
        <v>51</v>
      </c>
      <c r="G13" t="s">
        <v>1258</v>
      </c>
    </row>
    <row r="14" spans="1:10" ht="45" x14ac:dyDescent="0.25">
      <c r="A14" s="296" t="s">
        <v>1108</v>
      </c>
      <c r="B14" s="40">
        <f>175*1.2</f>
        <v>210</v>
      </c>
      <c r="C14" s="6" t="s">
        <v>1109</v>
      </c>
      <c r="D14" t="s">
        <v>1107</v>
      </c>
      <c r="F14">
        <f>B14/4</f>
        <v>52.5</v>
      </c>
      <c r="G14" t="s">
        <v>1258</v>
      </c>
    </row>
    <row r="15" spans="1:10" ht="45" x14ac:dyDescent="0.25">
      <c r="A15" s="296" t="s">
        <v>1255</v>
      </c>
      <c r="B15">
        <f>(2*85)*1.2</f>
        <v>204</v>
      </c>
      <c r="C15" s="6" t="s">
        <v>1256</v>
      </c>
      <c r="D15" t="s">
        <v>1107</v>
      </c>
      <c r="F15">
        <f>B15/12</f>
        <v>17</v>
      </c>
      <c r="G15" t="s">
        <v>1259</v>
      </c>
    </row>
    <row r="16" spans="1:10" x14ac:dyDescent="0.25">
      <c r="A16" s="296"/>
      <c r="B16" s="40"/>
      <c r="D16" s="28" t="s">
        <v>1105</v>
      </c>
      <c r="E16" s="28" t="s">
        <v>27</v>
      </c>
    </row>
    <row r="17" spans="1:5" x14ac:dyDescent="0.25">
      <c r="A17" s="396" t="s">
        <v>1246</v>
      </c>
      <c r="B17" s="120">
        <v>3000</v>
      </c>
      <c r="C17" s="32"/>
      <c r="D17" s="30">
        <f>B17*((0.07*(1+0.07)^15)/((1+0.07)^15-1))</f>
        <v>329.38387410301959</v>
      </c>
      <c r="E17" s="395" t="s">
        <v>30</v>
      </c>
    </row>
    <row r="18" spans="1:5" x14ac:dyDescent="0.25">
      <c r="A18" s="397" t="s">
        <v>1247</v>
      </c>
      <c r="B18" s="398">
        <v>500</v>
      </c>
      <c r="C18" s="32"/>
      <c r="D18" s="30">
        <f t="shared" ref="D18:D19" si="0">B18*((0.07*(1+0.07)^15)/((1+0.07)^15-1))</f>
        <v>54.897312350503263</v>
      </c>
    </row>
    <row r="19" spans="1:5" x14ac:dyDescent="0.25">
      <c r="A19" s="397" t="s">
        <v>1248</v>
      </c>
      <c r="B19" s="398">
        <v>4500</v>
      </c>
      <c r="C19" s="32"/>
      <c r="D19" s="30">
        <f t="shared" si="0"/>
        <v>494.07581115452933</v>
      </c>
    </row>
    <row r="20" spans="1:5" x14ac:dyDescent="0.25">
      <c r="A20" s="397" t="s">
        <v>1249</v>
      </c>
      <c r="B20" s="398"/>
      <c r="C20" s="32"/>
      <c r="D20" s="30">
        <v>1000</v>
      </c>
    </row>
    <row r="21" spans="1:5" x14ac:dyDescent="0.25">
      <c r="A21" s="296"/>
      <c r="B21" s="40"/>
    </row>
    <row r="22" spans="1:5" x14ac:dyDescent="0.25">
      <c r="A22" s="296"/>
      <c r="B22" s="297" t="s">
        <v>1110</v>
      </c>
      <c r="C22" s="297" t="s">
        <v>1111</v>
      </c>
    </row>
    <row r="23" spans="1:5" ht="45" x14ac:dyDescent="0.25">
      <c r="A23" s="298" t="s">
        <v>1112</v>
      </c>
      <c r="B23" s="30">
        <f>(3*B8)+B13+B14</f>
        <v>789</v>
      </c>
      <c r="C23" s="30">
        <f>(3*B9)+B13+B14</f>
        <v>1464</v>
      </c>
    </row>
    <row r="25" spans="1:5" x14ac:dyDescent="0.25">
      <c r="A25" s="264" t="s">
        <v>55</v>
      </c>
      <c r="B25" s="264" t="s">
        <v>18</v>
      </c>
      <c r="C25" s="265" t="s">
        <v>1017</v>
      </c>
      <c r="D25" s="266" t="s">
        <v>1018</v>
      </c>
      <c r="E25" s="266" t="s">
        <v>1019</v>
      </c>
    </row>
    <row r="26" spans="1:5" x14ac:dyDescent="0.25">
      <c r="A26" s="267" t="s">
        <v>54</v>
      </c>
      <c r="B26" s="268" t="s">
        <v>22</v>
      </c>
      <c r="C26" s="269">
        <v>41.17</v>
      </c>
      <c r="D26" s="268" t="s">
        <v>1020</v>
      </c>
      <c r="E26" s="270">
        <f>C26+1.1*C26</f>
        <v>86.457000000000008</v>
      </c>
    </row>
    <row r="27" spans="1:5" ht="30" x14ac:dyDescent="0.25">
      <c r="A27" s="267" t="s">
        <v>56</v>
      </c>
      <c r="B27" s="268" t="s">
        <v>23</v>
      </c>
      <c r="C27" s="269">
        <v>23.74</v>
      </c>
      <c r="D27" s="268" t="s">
        <v>1021</v>
      </c>
      <c r="E27" s="270">
        <f>C27+1.1*C27</f>
        <v>49.853999999999999</v>
      </c>
    </row>
    <row r="29" spans="1:5" x14ac:dyDescent="0.25">
      <c r="A29" s="27" t="s">
        <v>1022</v>
      </c>
      <c r="C29"/>
    </row>
  </sheetData>
  <hyperlinks>
    <hyperlink ref="C11" r:id="rId1"/>
    <hyperlink ref="C8" r:id="rId2"/>
    <hyperlink ref="C9" r:id="rId3"/>
    <hyperlink ref="C10" r:id="rId4"/>
    <hyperlink ref="C7" r:id="rId5"/>
    <hyperlink ref="A29" r:id="rId6" location="17-0000 (May 2013)"/>
  </hyperlinks>
  <pageMargins left="0.7" right="0.7" top="0.75" bottom="0.75" header="0.3" footer="0.3"/>
  <pageSetup orientation="portrait" r:id="rId7"/>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3"/>
  <sheetViews>
    <sheetView topLeftCell="O3" workbookViewId="0">
      <selection activeCell="E15" sqref="E15"/>
    </sheetView>
  </sheetViews>
  <sheetFormatPr defaultRowHeight="15" x14ac:dyDescent="0.25"/>
  <cols>
    <col min="4" max="4" width="11.5703125" bestFit="1" customWidth="1"/>
    <col min="8" max="8" width="10.5703125" bestFit="1" customWidth="1"/>
    <col min="14" max="14" width="11.5703125" bestFit="1" customWidth="1"/>
    <col min="16" max="16" width="26.42578125" customWidth="1"/>
    <col min="17" max="17" width="15" customWidth="1"/>
    <col min="18" max="20" width="15" style="239" customWidth="1"/>
  </cols>
  <sheetData>
    <row r="1" spans="1:29" ht="165" customHeight="1" x14ac:dyDescent="0.25">
      <c r="A1" s="477" t="s">
        <v>856</v>
      </c>
      <c r="B1" s="478"/>
      <c r="C1" s="479"/>
      <c r="D1" s="480" t="s">
        <v>857</v>
      </c>
      <c r="E1" s="480"/>
      <c r="F1" s="480"/>
      <c r="G1" s="480"/>
      <c r="H1" s="480"/>
      <c r="I1" s="481"/>
      <c r="J1" s="482" t="s">
        <v>7</v>
      </c>
      <c r="K1" s="482"/>
      <c r="L1" s="482"/>
      <c r="M1" s="482"/>
      <c r="N1" s="482"/>
      <c r="O1" s="482"/>
    </row>
    <row r="2" spans="1:29" ht="120" x14ac:dyDescent="0.25">
      <c r="A2" s="240" t="s">
        <v>8</v>
      </c>
      <c r="B2" s="240" t="s">
        <v>2</v>
      </c>
      <c r="C2" s="240" t="s">
        <v>858</v>
      </c>
      <c r="D2" s="241" t="s">
        <v>859</v>
      </c>
      <c r="E2" s="241" t="s">
        <v>860</v>
      </c>
      <c r="F2" s="241" t="s">
        <v>861</v>
      </c>
      <c r="G2" s="241" t="s">
        <v>862</v>
      </c>
      <c r="H2" s="241" t="s">
        <v>863</v>
      </c>
      <c r="I2" s="242" t="s">
        <v>864</v>
      </c>
      <c r="J2" s="9" t="s">
        <v>10</v>
      </c>
      <c r="K2" s="9" t="s">
        <v>865</v>
      </c>
      <c r="L2" s="9" t="s">
        <v>866</v>
      </c>
      <c r="M2" s="9" t="s">
        <v>867</v>
      </c>
      <c r="N2" s="9" t="s">
        <v>11</v>
      </c>
      <c r="O2" s="9" t="s">
        <v>12</v>
      </c>
      <c r="P2" s="243" t="s">
        <v>868</v>
      </c>
      <c r="Q2" s="244" t="s">
        <v>869</v>
      </c>
      <c r="R2" s="245" t="s">
        <v>28</v>
      </c>
      <c r="S2" s="246" t="s">
        <v>870</v>
      </c>
      <c r="T2" s="247"/>
      <c r="U2" s="483" t="s">
        <v>871</v>
      </c>
      <c r="V2" s="483"/>
      <c r="W2" s="483"/>
      <c r="Y2" s="3" t="s">
        <v>50</v>
      </c>
    </row>
    <row r="3" spans="1:29" ht="15" customHeight="1" x14ac:dyDescent="0.25">
      <c r="A3" s="248" t="s">
        <v>872</v>
      </c>
      <c r="B3" s="248" t="s">
        <v>873</v>
      </c>
      <c r="C3" s="249">
        <v>200.60310447638173</v>
      </c>
      <c r="D3" s="250">
        <f>C3*'[3]Base Costs'!$B$5</f>
        <v>200.60310447638173</v>
      </c>
      <c r="E3" s="250">
        <f>ROUNDUP(D3/8,0)</f>
        <v>26</v>
      </c>
      <c r="F3" s="250">
        <f>ROUNDUP(D3/40,0)</f>
        <v>6</v>
      </c>
      <c r="G3" s="250">
        <f>ROUNDUP(D3/(40*4),0)</f>
        <v>2</v>
      </c>
      <c r="H3" s="251">
        <f>4*D3*'[3]Base Costs'!$B$7</f>
        <v>39868.663396054013</v>
      </c>
      <c r="I3" s="252">
        <f>4*IF(E3&lt;=3,E3*'[3]Base Costs'!$B$8,IF(F3&lt;=3,F3*'[3]Base Costs'!$B$9,'[3]Base Costs'!$B$10*G3))</f>
        <v>8800</v>
      </c>
      <c r="J3" s="253">
        <f>C3*'[3]Base Costs'!$B$6</f>
        <v>50.953188537000962</v>
      </c>
      <c r="K3" s="250">
        <f>ROUNDUP(J3/8,0)</f>
        <v>7</v>
      </c>
      <c r="L3" s="250">
        <f>ROUNDUP(J3/40,0)</f>
        <v>2</v>
      </c>
      <c r="M3" s="250">
        <f>ROUNDUP(J3/(40*4),0)</f>
        <v>1</v>
      </c>
      <c r="N3" s="251">
        <f>4*J3*'[3]Base Costs'!$B$7</f>
        <v>10126.64050259772</v>
      </c>
      <c r="O3" s="252">
        <f>4*IF(K3&lt;=3,K3*'[3]Base Costs'!$B$8,IF(L3&lt;=3,L3*'[3]Base Costs'!$B$9,'[3]Base Costs'!$B$10*M3))</f>
        <v>2800</v>
      </c>
      <c r="P3" s="252">
        <f>4*C3*'[3]Base Costs'!$B$11</f>
        <v>40120.620895276348</v>
      </c>
      <c r="Q3">
        <f>'[3]Base Costs'!$B$13+'[3]Base Costs'!$B$14</f>
        <v>414</v>
      </c>
      <c r="R3" s="239">
        <f>'[3]Base Costs'!$D$2</f>
        <v>1105.3024868650327</v>
      </c>
      <c r="S3" s="254">
        <f>R3+Q3+N3+O3</f>
        <v>14445.942989462754</v>
      </c>
      <c r="U3" s="30" t="s">
        <v>874</v>
      </c>
      <c r="V3" s="30" t="s">
        <v>875</v>
      </c>
      <c r="W3" s="30">
        <f>AVERAGE(J3:J493)</f>
        <v>36.373279845593501</v>
      </c>
      <c r="Y3" s="473" t="s">
        <v>7</v>
      </c>
      <c r="Z3" s="474"/>
      <c r="AA3" s="474"/>
      <c r="AB3" s="474"/>
      <c r="AC3" s="474"/>
    </row>
    <row r="4" spans="1:29" ht="120" x14ac:dyDescent="0.25">
      <c r="A4" s="248" t="s">
        <v>872</v>
      </c>
      <c r="B4" s="248" t="s">
        <v>876</v>
      </c>
      <c r="C4" s="249">
        <v>82.82749037492151</v>
      </c>
      <c r="D4" s="250">
        <f>C4*'[3]Base Costs'!$B$5</f>
        <v>82.82749037492151</v>
      </c>
      <c r="E4" s="250">
        <f t="shared" ref="E4:E67" si="0">ROUNDUP(D4/8,0)</f>
        <v>11</v>
      </c>
      <c r="F4" s="250">
        <f t="shared" ref="F4:F67" si="1">ROUNDUP(D4/40,0)</f>
        <v>3</v>
      </c>
      <c r="G4" s="250">
        <f t="shared" ref="G4:G67" si="2">ROUNDUP(D4/(40*4),0)</f>
        <v>1</v>
      </c>
      <c r="H4" s="251">
        <f>4*D4*'[3]Base Costs'!$B$7</f>
        <v>16461.466747073402</v>
      </c>
      <c r="I4" s="252">
        <f>4*IF(E4&lt;=3,E4*'[3]Base Costs'!$B$8,IF(F4&lt;=3,F4*'[3]Base Costs'!$B$9,'[3]Base Costs'!$B$10*G4))</f>
        <v>4200</v>
      </c>
      <c r="J4" s="253">
        <f>C4*'[3]Base Costs'!$B$6</f>
        <v>21.038182555230065</v>
      </c>
      <c r="K4" s="250">
        <f t="shared" ref="K4:K67" si="3">ROUNDUP(J4/8,0)</f>
        <v>3</v>
      </c>
      <c r="L4" s="250">
        <f t="shared" ref="L4:L67" si="4">ROUNDUP(J4/40,0)</f>
        <v>1</v>
      </c>
      <c r="M4" s="250">
        <f t="shared" ref="M4:M67" si="5">ROUNDUP(J4/(40*4),0)</f>
        <v>1</v>
      </c>
      <c r="N4" s="251">
        <f>4*J4*'[3]Base Costs'!$B$7</f>
        <v>4181.2125537566444</v>
      </c>
      <c r="O4" s="252">
        <f>4*IF(K4&lt;=3,K4*'[3]Base Costs'!$B$8,IF(L4&lt;=3,L4*'[3]Base Costs'!$B$9,'[3]Base Costs'!$B$10*M4))</f>
        <v>1500</v>
      </c>
      <c r="P4" s="252">
        <f>4*C4*'[3]Base Costs'!$B$11</f>
        <v>16565.498074984302</v>
      </c>
      <c r="Q4">
        <f>'[3]Base Costs'!$B$13+'[3]Base Costs'!$B$14</f>
        <v>414</v>
      </c>
      <c r="R4" s="239">
        <f>'[3]Base Costs'!$D$2</f>
        <v>1105.3024868650327</v>
      </c>
      <c r="S4" s="254">
        <f t="shared" ref="S4:S67" si="6">R4+Q4+N4+O4</f>
        <v>7200.5150406216771</v>
      </c>
      <c r="U4" s="30" t="s">
        <v>877</v>
      </c>
      <c r="V4" s="30" t="s">
        <v>875</v>
      </c>
      <c r="W4" s="30">
        <f>AVERAGE(D3:D493)</f>
        <v>143.20188915587994</v>
      </c>
      <c r="Y4" s="9" t="s">
        <v>10</v>
      </c>
      <c r="Z4" s="46" t="s">
        <v>51</v>
      </c>
      <c r="AA4" s="46"/>
      <c r="AB4" s="9" t="s">
        <v>11</v>
      </c>
      <c r="AC4" s="37" t="s">
        <v>12</v>
      </c>
    </row>
    <row r="5" spans="1:29" x14ac:dyDescent="0.25">
      <c r="A5" s="248" t="s">
        <v>872</v>
      </c>
      <c r="B5" s="248" t="s">
        <v>878</v>
      </c>
      <c r="C5" s="249">
        <v>159.39973624500001</v>
      </c>
      <c r="D5" s="250">
        <f>C5*'[3]Base Costs'!$B$5</f>
        <v>159.39973624500001</v>
      </c>
      <c r="E5" s="250">
        <f t="shared" si="0"/>
        <v>20</v>
      </c>
      <c r="F5" s="250">
        <f t="shared" si="1"/>
        <v>4</v>
      </c>
      <c r="G5" s="250">
        <f t="shared" si="2"/>
        <v>1</v>
      </c>
      <c r="H5" s="251">
        <f>4*D5*'[3]Base Costs'!$B$7</f>
        <v>31679.741180276287</v>
      </c>
      <c r="I5" s="252">
        <f>4*IF(E5&lt;=3,E5*'[3]Base Costs'!$B$8,IF(F5&lt;=3,F5*'[3]Base Costs'!$B$9,'[3]Base Costs'!$B$10*G5))</f>
        <v>4400</v>
      </c>
      <c r="J5" s="253">
        <f>C5*'[3]Base Costs'!$B$6</f>
        <v>40.487533006230002</v>
      </c>
      <c r="K5" s="250">
        <f t="shared" si="3"/>
        <v>6</v>
      </c>
      <c r="L5" s="250">
        <f t="shared" si="4"/>
        <v>2</v>
      </c>
      <c r="M5" s="250">
        <f t="shared" si="5"/>
        <v>1</v>
      </c>
      <c r="N5" s="251">
        <f>4*J5*'[3]Base Costs'!$B$7</f>
        <v>8046.6542597901771</v>
      </c>
      <c r="O5" s="252">
        <f>4*IF(K5&lt;=3,K5*'[3]Base Costs'!$B$8,IF(L5&lt;=3,L5*'[3]Base Costs'!$B$9,'[3]Base Costs'!$B$10*M5))</f>
        <v>2800</v>
      </c>
      <c r="P5" s="252">
        <f>4*C5*'[3]Base Costs'!$B$11</f>
        <v>31879.947249000004</v>
      </c>
      <c r="Q5">
        <f>'[3]Base Costs'!$B$13+'[3]Base Costs'!$B$14</f>
        <v>414</v>
      </c>
      <c r="R5" s="239">
        <f>'[3]Base Costs'!$D$2</f>
        <v>1105.3024868650327</v>
      </c>
      <c r="S5" s="254">
        <f t="shared" si="6"/>
        <v>12365.956746655211</v>
      </c>
      <c r="Y5" s="132">
        <f>W3</f>
        <v>36.373279845593501</v>
      </c>
      <c r="Z5" s="131" t="s">
        <v>1128</v>
      </c>
      <c r="AA5" s="131">
        <f>3*125</f>
        <v>375</v>
      </c>
      <c r="AB5" s="133">
        <f>Y5*4</f>
        <v>145.493119382374</v>
      </c>
      <c r="AC5" s="131" t="s">
        <v>112</v>
      </c>
    </row>
    <row r="6" spans="1:29" x14ac:dyDescent="0.25">
      <c r="A6" s="248" t="s">
        <v>872</v>
      </c>
      <c r="B6" s="248" t="s">
        <v>879</v>
      </c>
      <c r="C6" s="249">
        <v>72.930463870959656</v>
      </c>
      <c r="D6" s="250">
        <f>C6*'[3]Base Costs'!$B$5</f>
        <v>72.930463870959656</v>
      </c>
      <c r="E6" s="250">
        <f t="shared" si="0"/>
        <v>10</v>
      </c>
      <c r="F6" s="250">
        <f t="shared" si="1"/>
        <v>2</v>
      </c>
      <c r="G6" s="250">
        <f t="shared" si="2"/>
        <v>1</v>
      </c>
      <c r="H6" s="251">
        <f>4*D6*'[3]Base Costs'!$B$7</f>
        <v>14494.492111570007</v>
      </c>
      <c r="I6" s="252">
        <f>4*IF(E6&lt;=3,E6*'[3]Base Costs'!$B$8,IF(F6&lt;=3,F6*'[3]Base Costs'!$B$9,'[3]Base Costs'!$B$10*G6))</f>
        <v>2800</v>
      </c>
      <c r="J6" s="253">
        <f>C6*'[3]Base Costs'!$B$6</f>
        <v>18.524337823223753</v>
      </c>
      <c r="K6" s="250">
        <f t="shared" si="3"/>
        <v>3</v>
      </c>
      <c r="L6" s="250">
        <f t="shared" si="4"/>
        <v>1</v>
      </c>
      <c r="M6" s="250">
        <f t="shared" si="5"/>
        <v>1</v>
      </c>
      <c r="N6" s="251">
        <f>4*J6*'[3]Base Costs'!$B$7</f>
        <v>3681.6009963387824</v>
      </c>
      <c r="O6" s="252">
        <f>4*IF(K6&lt;=3,K6*'[3]Base Costs'!$B$8,IF(L6&lt;=3,L6*'[3]Base Costs'!$B$9,'[3]Base Costs'!$B$10*M6))</f>
        <v>1500</v>
      </c>
      <c r="P6" s="252">
        <f>4*C6*'[3]Base Costs'!$B$11</f>
        <v>14586.092774191931</v>
      </c>
      <c r="Q6">
        <f>'[3]Base Costs'!$B$13+'[3]Base Costs'!$B$14</f>
        <v>414</v>
      </c>
      <c r="R6" s="239">
        <f>'[3]Base Costs'!$D$2</f>
        <v>1105.3024868650327</v>
      </c>
      <c r="S6" s="254">
        <f t="shared" si="6"/>
        <v>6700.9034832038151</v>
      </c>
      <c r="Y6" s="12" t="s">
        <v>13</v>
      </c>
    </row>
    <row r="7" spans="1:29" x14ac:dyDescent="0.25">
      <c r="A7" s="248" t="s">
        <v>872</v>
      </c>
      <c r="B7" s="248" t="s">
        <v>880</v>
      </c>
      <c r="C7" s="249">
        <v>67.248775165789667</v>
      </c>
      <c r="D7" s="250">
        <f>C7*'[3]Base Costs'!$B$5</f>
        <v>67.248775165789667</v>
      </c>
      <c r="E7" s="250">
        <f t="shared" si="0"/>
        <v>9</v>
      </c>
      <c r="F7" s="250">
        <f t="shared" si="1"/>
        <v>2</v>
      </c>
      <c r="G7" s="250">
        <f t="shared" si="2"/>
        <v>1</v>
      </c>
      <c r="H7" s="251">
        <f>4*D7*'[3]Base Costs'!$B$7</f>
        <v>13365.290571549704</v>
      </c>
      <c r="I7" s="252">
        <f>4*IF(E7&lt;=3,E7*'[3]Base Costs'!$B$8,IF(F7&lt;=3,F7*'[3]Base Costs'!$B$9,'[3]Base Costs'!$B$10*G7))</f>
        <v>2800</v>
      </c>
      <c r="J7" s="253">
        <f>C7*'[3]Base Costs'!$B$6</f>
        <v>17.081188892110575</v>
      </c>
      <c r="K7" s="250">
        <f t="shared" si="3"/>
        <v>3</v>
      </c>
      <c r="L7" s="250">
        <f t="shared" si="4"/>
        <v>1</v>
      </c>
      <c r="M7" s="250">
        <f t="shared" si="5"/>
        <v>1</v>
      </c>
      <c r="N7" s="251">
        <f>4*J7*'[3]Base Costs'!$B$7</f>
        <v>3394.7838051736244</v>
      </c>
      <c r="O7" s="252">
        <f>4*IF(K7&lt;=3,K7*'[3]Base Costs'!$B$8,IF(L7&lt;=3,L7*'[3]Base Costs'!$B$9,'[3]Base Costs'!$B$10*M7))</f>
        <v>1500</v>
      </c>
      <c r="P7" s="252">
        <f>4*C7*'[3]Base Costs'!$B$11</f>
        <v>13449.755033157933</v>
      </c>
      <c r="Q7">
        <f>'[3]Base Costs'!$B$13+'[3]Base Costs'!$B$14</f>
        <v>414</v>
      </c>
      <c r="R7" s="239">
        <f>'[3]Base Costs'!$D$2</f>
        <v>1105.3024868650327</v>
      </c>
      <c r="S7" s="254">
        <f t="shared" si="6"/>
        <v>6414.0862920386571</v>
      </c>
    </row>
    <row r="8" spans="1:29" x14ac:dyDescent="0.25">
      <c r="A8" s="248" t="s">
        <v>872</v>
      </c>
      <c r="B8" s="248" t="s">
        <v>881</v>
      </c>
      <c r="C8" s="249">
        <v>88.505715107066351</v>
      </c>
      <c r="D8" s="250">
        <f>C8*'[3]Base Costs'!$B$5</f>
        <v>88.505715107066351</v>
      </c>
      <c r="E8" s="250">
        <f t="shared" si="0"/>
        <v>12</v>
      </c>
      <c r="F8" s="250">
        <f t="shared" si="1"/>
        <v>3</v>
      </c>
      <c r="G8" s="250">
        <f t="shared" si="2"/>
        <v>1</v>
      </c>
      <c r="H8" s="251">
        <f>4*D8*'[3]Base Costs'!$B$7</f>
        <v>17589.979843238798</v>
      </c>
      <c r="I8" s="252">
        <f>4*IF(E8&lt;=3,E8*'[3]Base Costs'!$B$8,IF(F8&lt;=3,F8*'[3]Base Costs'!$B$9,'[3]Base Costs'!$B$10*G8))</f>
        <v>4200</v>
      </c>
      <c r="J8" s="253">
        <f>C8*'[3]Base Costs'!$B$6</f>
        <v>22.480451637194854</v>
      </c>
      <c r="K8" s="250">
        <f t="shared" si="3"/>
        <v>3</v>
      </c>
      <c r="L8" s="250">
        <f t="shared" si="4"/>
        <v>1</v>
      </c>
      <c r="M8" s="250">
        <f t="shared" si="5"/>
        <v>1</v>
      </c>
      <c r="N8" s="251">
        <f>4*J8*'[3]Base Costs'!$B$7</f>
        <v>4467.8548801826546</v>
      </c>
      <c r="O8" s="252">
        <f>4*IF(K8&lt;=3,K8*'[3]Base Costs'!$B$8,IF(L8&lt;=3,L8*'[3]Base Costs'!$B$9,'[3]Base Costs'!$B$10*M8))</f>
        <v>1500</v>
      </c>
      <c r="P8" s="252">
        <f>4*C8*'[3]Base Costs'!$B$11</f>
        <v>17701.143021413271</v>
      </c>
      <c r="Q8">
        <f>'[3]Base Costs'!$B$13+'[3]Base Costs'!$B$14</f>
        <v>414</v>
      </c>
      <c r="R8" s="239">
        <f>'[3]Base Costs'!$D$2</f>
        <v>1105.3024868650327</v>
      </c>
      <c r="S8" s="254">
        <f t="shared" si="6"/>
        <v>7487.1573670476873</v>
      </c>
    </row>
    <row r="9" spans="1:29" x14ac:dyDescent="0.25">
      <c r="A9" s="248" t="s">
        <v>872</v>
      </c>
      <c r="B9" s="248" t="s">
        <v>882</v>
      </c>
      <c r="C9" s="249">
        <v>181.74810091532655</v>
      </c>
      <c r="D9" s="250">
        <f>C9*'[3]Base Costs'!$B$5</f>
        <v>181.74810091532655</v>
      </c>
      <c r="E9" s="250">
        <f t="shared" si="0"/>
        <v>23</v>
      </c>
      <c r="F9" s="250">
        <f t="shared" si="1"/>
        <v>5</v>
      </c>
      <c r="G9" s="250">
        <f t="shared" si="2"/>
        <v>2</v>
      </c>
      <c r="H9" s="251">
        <f>4*D9*'[3]Base Costs'!$B$7</f>
        <v>36121.344568315661</v>
      </c>
      <c r="I9" s="252">
        <f>4*IF(E9&lt;=3,E9*'[3]Base Costs'!$B$8,IF(F9&lt;=3,F9*'[3]Base Costs'!$B$9,'[3]Base Costs'!$B$10*G9))</f>
        <v>8800</v>
      </c>
      <c r="J9" s="253">
        <f>C9*'[3]Base Costs'!$B$6</f>
        <v>46.164017632492943</v>
      </c>
      <c r="K9" s="250">
        <f t="shared" si="3"/>
        <v>6</v>
      </c>
      <c r="L9" s="250">
        <f t="shared" si="4"/>
        <v>2</v>
      </c>
      <c r="M9" s="250">
        <f t="shared" si="5"/>
        <v>1</v>
      </c>
      <c r="N9" s="251">
        <f>4*J9*'[3]Base Costs'!$B$7</f>
        <v>9174.8215203521795</v>
      </c>
      <c r="O9" s="252">
        <f>4*IF(K9&lt;=3,K9*'[3]Base Costs'!$B$8,IF(L9&lt;=3,L9*'[3]Base Costs'!$B$9,'[3]Base Costs'!$B$10*M9))</f>
        <v>2800</v>
      </c>
      <c r="P9" s="252">
        <f>4*C9*'[3]Base Costs'!$B$11</f>
        <v>36349.620183065308</v>
      </c>
      <c r="Q9">
        <f>'[3]Base Costs'!$B$13+'[3]Base Costs'!$B$14</f>
        <v>414</v>
      </c>
      <c r="R9" s="239">
        <f>'[3]Base Costs'!$D$2</f>
        <v>1105.3024868650327</v>
      </c>
      <c r="S9" s="254">
        <f t="shared" si="6"/>
        <v>13494.124007217211</v>
      </c>
      <c r="U9" s="299" t="s">
        <v>1129</v>
      </c>
    </row>
    <row r="10" spans="1:29" x14ac:dyDescent="0.25">
      <c r="A10" s="248" t="s">
        <v>872</v>
      </c>
      <c r="B10" s="248" t="s">
        <v>883</v>
      </c>
      <c r="C10" s="249">
        <v>337.40546097603425</v>
      </c>
      <c r="D10" s="250">
        <f>C10*'[3]Base Costs'!$B$5</f>
        <v>337.40546097603425</v>
      </c>
      <c r="E10" s="250">
        <f t="shared" si="0"/>
        <v>43</v>
      </c>
      <c r="F10" s="250">
        <f t="shared" si="1"/>
        <v>9</v>
      </c>
      <c r="G10" s="250">
        <f t="shared" si="2"/>
        <v>3</v>
      </c>
      <c r="H10" s="251">
        <f>4*D10*'[3]Base Costs'!$B$7</f>
        <v>67057.310936220965</v>
      </c>
      <c r="I10" s="252">
        <f>4*IF(E10&lt;=3,E10*'[3]Base Costs'!$B$8,IF(F10&lt;=3,F10*'[3]Base Costs'!$B$9,'[3]Base Costs'!$B$10*G10))</f>
        <v>13200</v>
      </c>
      <c r="J10" s="253">
        <f>C10*'[3]Base Costs'!$B$6</f>
        <v>85.700987087912694</v>
      </c>
      <c r="K10" s="250">
        <f t="shared" si="3"/>
        <v>11</v>
      </c>
      <c r="L10" s="250">
        <f t="shared" si="4"/>
        <v>3</v>
      </c>
      <c r="M10" s="250">
        <f t="shared" si="5"/>
        <v>1</v>
      </c>
      <c r="N10" s="251">
        <f>4*J10*'[3]Base Costs'!$B$7</f>
        <v>17032.556977800123</v>
      </c>
      <c r="O10" s="252">
        <f>4*IF(K10&lt;=3,K10*'[3]Base Costs'!$B$8,IF(L10&lt;=3,L10*'[3]Base Costs'!$B$9,'[3]Base Costs'!$B$10*M10))</f>
        <v>4200</v>
      </c>
      <c r="P10" s="252">
        <f>4*C10*'[3]Base Costs'!$B$11</f>
        <v>67481.092195206846</v>
      </c>
      <c r="Q10">
        <f>'[3]Base Costs'!$B$13+'[3]Base Costs'!$B$14</f>
        <v>414</v>
      </c>
      <c r="R10" s="239">
        <f>'[3]Base Costs'!$D$2</f>
        <v>1105.3024868650327</v>
      </c>
      <c r="S10" s="254">
        <f t="shared" si="6"/>
        <v>22751.859464665155</v>
      </c>
      <c r="U10" t="s">
        <v>1115</v>
      </c>
      <c r="W10" t="s">
        <v>1116</v>
      </c>
    </row>
    <row r="11" spans="1:29" x14ac:dyDescent="0.25">
      <c r="A11" s="248" t="s">
        <v>872</v>
      </c>
      <c r="B11" s="248" t="s">
        <v>884</v>
      </c>
      <c r="C11" s="249">
        <v>188.55709661684364</v>
      </c>
      <c r="D11" s="250">
        <f>C11*'[3]Base Costs'!$B$5</f>
        <v>188.55709661684364</v>
      </c>
      <c r="E11" s="250">
        <f t="shared" si="0"/>
        <v>24</v>
      </c>
      <c r="F11" s="250">
        <f t="shared" si="1"/>
        <v>5</v>
      </c>
      <c r="G11" s="250">
        <f t="shared" si="2"/>
        <v>2</v>
      </c>
      <c r="H11" s="251">
        <f>4*D11*'[3]Base Costs'!$B$7</f>
        <v>37474.591610017975</v>
      </c>
      <c r="I11" s="252">
        <f>4*IF(E11&lt;=3,E11*'[3]Base Costs'!$B$8,IF(F11&lt;=3,F11*'[3]Base Costs'!$B$9,'[3]Base Costs'!$B$10*G11))</f>
        <v>8800</v>
      </c>
      <c r="J11" s="253">
        <f>C11*'[3]Base Costs'!$B$6</f>
        <v>47.893502540678284</v>
      </c>
      <c r="K11" s="250">
        <f t="shared" si="3"/>
        <v>6</v>
      </c>
      <c r="L11" s="250">
        <f t="shared" si="4"/>
        <v>2</v>
      </c>
      <c r="M11" s="250">
        <f t="shared" si="5"/>
        <v>1</v>
      </c>
      <c r="N11" s="251">
        <f>4*J11*'[3]Base Costs'!$B$7</f>
        <v>9518.5462689445667</v>
      </c>
      <c r="O11" s="252">
        <f>4*IF(K11&lt;=3,K11*'[3]Base Costs'!$B$8,IF(L11&lt;=3,L11*'[3]Base Costs'!$B$9,'[3]Base Costs'!$B$10*M11))</f>
        <v>2800</v>
      </c>
      <c r="P11" s="252">
        <f>4*C11*'[3]Base Costs'!$B$11</f>
        <v>37711.419323368726</v>
      </c>
      <c r="Q11">
        <f>'[3]Base Costs'!$B$13+'[3]Base Costs'!$B$14</f>
        <v>414</v>
      </c>
      <c r="R11" s="239">
        <f>'[3]Base Costs'!$D$2</f>
        <v>1105.3024868650327</v>
      </c>
      <c r="S11" s="254">
        <f t="shared" si="6"/>
        <v>13837.848755809599</v>
      </c>
      <c r="U11" s="257" t="s">
        <v>1117</v>
      </c>
      <c r="W11" s="257" t="s">
        <v>1117</v>
      </c>
    </row>
    <row r="12" spans="1:29" x14ac:dyDescent="0.25">
      <c r="A12" s="248" t="s">
        <v>872</v>
      </c>
      <c r="B12" s="248" t="s">
        <v>885</v>
      </c>
      <c r="C12" s="249">
        <v>195.660479276713</v>
      </c>
      <c r="D12" s="250">
        <f>C12*'[3]Base Costs'!$B$5</f>
        <v>195.660479276713</v>
      </c>
      <c r="E12" s="250">
        <f t="shared" si="0"/>
        <v>25</v>
      </c>
      <c r="F12" s="250">
        <f t="shared" si="1"/>
        <v>5</v>
      </c>
      <c r="G12" s="250">
        <f t="shared" si="2"/>
        <v>2</v>
      </c>
      <c r="H12" s="251">
        <f>4*D12*'[3]Base Costs'!$B$7</f>
        <v>38886.346293371054</v>
      </c>
      <c r="I12" s="252">
        <f>4*IF(E12&lt;=3,E12*'[3]Base Costs'!$B$8,IF(F12&lt;=3,F12*'[3]Base Costs'!$B$9,'[3]Base Costs'!$B$10*G12))</f>
        <v>8800</v>
      </c>
      <c r="J12" s="253">
        <f>C12*'[3]Base Costs'!$B$6</f>
        <v>49.697761736285102</v>
      </c>
      <c r="K12" s="250">
        <f t="shared" si="3"/>
        <v>7</v>
      </c>
      <c r="L12" s="250">
        <f t="shared" si="4"/>
        <v>2</v>
      </c>
      <c r="M12" s="250">
        <f t="shared" si="5"/>
        <v>1</v>
      </c>
      <c r="N12" s="251">
        <f>4*J12*'[3]Base Costs'!$B$7</f>
        <v>9877.1319585162473</v>
      </c>
      <c r="O12" s="252">
        <f>4*IF(K12&lt;=3,K12*'[3]Base Costs'!$B$8,IF(L12&lt;=3,L12*'[3]Base Costs'!$B$9,'[3]Base Costs'!$B$10*M12))</f>
        <v>2800</v>
      </c>
      <c r="P12" s="252">
        <f>4*C12*'[3]Base Costs'!$B$11</f>
        <v>39132.095855342603</v>
      </c>
      <c r="Q12">
        <f>'[3]Base Costs'!$B$13+'[3]Base Costs'!$B$14</f>
        <v>414</v>
      </c>
      <c r="R12" s="239">
        <f>'[3]Base Costs'!$D$2</f>
        <v>1105.3024868650327</v>
      </c>
      <c r="S12" s="254">
        <f t="shared" si="6"/>
        <v>14196.434445381281</v>
      </c>
      <c r="U12" t="s">
        <v>1118</v>
      </c>
      <c r="W12" t="s">
        <v>1119</v>
      </c>
      <c r="Z12">
        <f>Y5*0.254/8</f>
        <v>1.1548516350975937</v>
      </c>
    </row>
    <row r="13" spans="1:29" x14ac:dyDescent="0.25">
      <c r="A13" s="248" t="s">
        <v>872</v>
      </c>
      <c r="B13" s="248" t="s">
        <v>886</v>
      </c>
      <c r="C13" s="249">
        <v>103.86332665481439</v>
      </c>
      <c r="D13" s="250">
        <f>C13*'[3]Base Costs'!$B$5</f>
        <v>103.86332665481439</v>
      </c>
      <c r="E13" s="250">
        <f t="shared" si="0"/>
        <v>13</v>
      </c>
      <c r="F13" s="250">
        <f t="shared" si="1"/>
        <v>3</v>
      </c>
      <c r="G13" s="250">
        <f t="shared" si="2"/>
        <v>1</v>
      </c>
      <c r="H13" s="251">
        <f>4*D13*'[3]Base Costs'!$B$7</f>
        <v>20642.212992684432</v>
      </c>
      <c r="I13" s="252">
        <f>4*IF(E13&lt;=3,E13*'[3]Base Costs'!$B$8,IF(F13&lt;=3,F13*'[3]Base Costs'!$B$9,'[3]Base Costs'!$B$10*G13))</f>
        <v>4200</v>
      </c>
      <c r="J13" s="253">
        <f>C13*'[3]Base Costs'!$B$6</f>
        <v>26.381284970322856</v>
      </c>
      <c r="K13" s="250">
        <f t="shared" si="3"/>
        <v>4</v>
      </c>
      <c r="L13" s="250">
        <f t="shared" si="4"/>
        <v>1</v>
      </c>
      <c r="M13" s="250">
        <f t="shared" si="5"/>
        <v>1</v>
      </c>
      <c r="N13" s="251">
        <f>4*J13*'[3]Base Costs'!$B$7</f>
        <v>5243.1221001418462</v>
      </c>
      <c r="O13" s="252">
        <f>4*IF(K13&lt;=3,K13*'[3]Base Costs'!$B$8,IF(L13&lt;=3,L13*'[3]Base Costs'!$B$9,'[3]Base Costs'!$B$10*M13))</f>
        <v>1400</v>
      </c>
      <c r="P13" s="252">
        <f>4*C13*'[3]Base Costs'!$B$11</f>
        <v>20772.665330962878</v>
      </c>
      <c r="Q13">
        <f>'[3]Base Costs'!$B$13+'[3]Base Costs'!$B$14</f>
        <v>414</v>
      </c>
      <c r="R13" s="239">
        <f>'[3]Base Costs'!$D$2</f>
        <v>1105.3024868650327</v>
      </c>
      <c r="S13" s="254">
        <f t="shared" si="6"/>
        <v>8162.4245870068789</v>
      </c>
    </row>
    <row r="14" spans="1:29" x14ac:dyDescent="0.25">
      <c r="A14" s="248" t="s">
        <v>872</v>
      </c>
      <c r="B14" s="248" t="s">
        <v>887</v>
      </c>
      <c r="C14" s="249">
        <v>140.69015150153439</v>
      </c>
      <c r="D14" s="250">
        <f>C14*'[3]Base Costs'!$B$5</f>
        <v>140.69015150153439</v>
      </c>
      <c r="E14" s="250">
        <f t="shared" si="0"/>
        <v>18</v>
      </c>
      <c r="F14" s="250">
        <f t="shared" si="1"/>
        <v>4</v>
      </c>
      <c r="G14" s="250">
        <f t="shared" si="2"/>
        <v>1</v>
      </c>
      <c r="H14" s="251">
        <f>4*D14*'[3]Base Costs'!$B$7</f>
        <v>27961.323470020954</v>
      </c>
      <c r="I14" s="252">
        <f>4*IF(E14&lt;=3,E14*'[3]Base Costs'!$B$8,IF(F14&lt;=3,F14*'[3]Base Costs'!$B$9,'[3]Base Costs'!$B$10*G14))</f>
        <v>4400</v>
      </c>
      <c r="J14" s="253">
        <f>C14*'[3]Base Costs'!$B$6</f>
        <v>35.735298481389734</v>
      </c>
      <c r="K14" s="250">
        <f t="shared" si="3"/>
        <v>5</v>
      </c>
      <c r="L14" s="250">
        <f t="shared" si="4"/>
        <v>1</v>
      </c>
      <c r="M14" s="250">
        <f t="shared" si="5"/>
        <v>1</v>
      </c>
      <c r="N14" s="251">
        <f>4*J14*'[3]Base Costs'!$B$7</f>
        <v>7102.1761613853223</v>
      </c>
      <c r="O14" s="252">
        <f>4*IF(K14&lt;=3,K14*'[3]Base Costs'!$B$8,IF(L14&lt;=3,L14*'[3]Base Costs'!$B$9,'[3]Base Costs'!$B$10*M14))</f>
        <v>1400</v>
      </c>
      <c r="P14" s="252">
        <f>4*C14*'[3]Base Costs'!$B$11</f>
        <v>28138.030300306877</v>
      </c>
      <c r="Q14">
        <f>'[3]Base Costs'!$B$13+'[3]Base Costs'!$B$14</f>
        <v>414</v>
      </c>
      <c r="R14" s="239">
        <f>'[3]Base Costs'!$D$2</f>
        <v>1105.3024868650327</v>
      </c>
      <c r="S14" s="254">
        <f t="shared" si="6"/>
        <v>10021.478648250355</v>
      </c>
      <c r="U14" t="s">
        <v>1120</v>
      </c>
      <c r="W14" t="s">
        <v>1121</v>
      </c>
    </row>
    <row r="15" spans="1:29" x14ac:dyDescent="0.25">
      <c r="A15" s="248" t="s">
        <v>872</v>
      </c>
      <c r="B15" s="248" t="s">
        <v>888</v>
      </c>
      <c r="C15" s="249">
        <v>118.99983748000001</v>
      </c>
      <c r="D15" s="250">
        <f>C15*'[3]Base Costs'!$B$5</f>
        <v>118.99983748000001</v>
      </c>
      <c r="E15" s="250">
        <f t="shared" si="0"/>
        <v>15</v>
      </c>
      <c r="F15" s="250">
        <f t="shared" si="1"/>
        <v>3</v>
      </c>
      <c r="G15" s="250">
        <f t="shared" si="2"/>
        <v>1</v>
      </c>
      <c r="H15" s="251">
        <f>4*D15*'[3]Base Costs'!$B$7</f>
        <v>23650.503700125126</v>
      </c>
      <c r="I15" s="252">
        <f>4*IF(E15&lt;=3,E15*'[3]Base Costs'!$B$8,IF(F15&lt;=3,F15*'[3]Base Costs'!$B$9,'[3]Base Costs'!$B$10*G15))</f>
        <v>4200</v>
      </c>
      <c r="J15" s="253">
        <f>C15*'[3]Base Costs'!$B$6</f>
        <v>30.225958719920005</v>
      </c>
      <c r="K15" s="250">
        <f t="shared" si="3"/>
        <v>4</v>
      </c>
      <c r="L15" s="250">
        <f t="shared" si="4"/>
        <v>1</v>
      </c>
      <c r="M15" s="250">
        <f t="shared" si="5"/>
        <v>1</v>
      </c>
      <c r="N15" s="251">
        <f>4*J15*'[3]Base Costs'!$B$7</f>
        <v>6007.2279398317824</v>
      </c>
      <c r="O15" s="252">
        <f>4*IF(K15&lt;=3,K15*'[3]Base Costs'!$B$8,IF(L15&lt;=3,L15*'[3]Base Costs'!$B$9,'[3]Base Costs'!$B$10*M15))</f>
        <v>1400</v>
      </c>
      <c r="P15" s="252">
        <f>4*C15*'[3]Base Costs'!$B$11</f>
        <v>23799.967496000001</v>
      </c>
      <c r="Q15">
        <f>'[3]Base Costs'!$B$13+'[3]Base Costs'!$B$14</f>
        <v>414</v>
      </c>
      <c r="R15" s="239">
        <f>'[3]Base Costs'!$D$2</f>
        <v>1105.3024868650327</v>
      </c>
      <c r="S15" s="254">
        <f t="shared" si="6"/>
        <v>8926.530426696816</v>
      </c>
    </row>
    <row r="16" spans="1:29" x14ac:dyDescent="0.25">
      <c r="A16" s="248" t="s">
        <v>872</v>
      </c>
      <c r="B16" s="248" t="s">
        <v>889</v>
      </c>
      <c r="C16" s="249">
        <v>157.26655432876356</v>
      </c>
      <c r="D16" s="250">
        <f>C16*'[3]Base Costs'!$B$5</f>
        <v>157.26655432876356</v>
      </c>
      <c r="E16" s="250">
        <f t="shared" si="0"/>
        <v>20</v>
      </c>
      <c r="F16" s="250">
        <f t="shared" si="1"/>
        <v>4</v>
      </c>
      <c r="G16" s="250">
        <f t="shared" si="2"/>
        <v>1</v>
      </c>
      <c r="H16" s="251">
        <f>4*D16*'[3]Base Costs'!$B$7</f>
        <v>31255.784073515788</v>
      </c>
      <c r="I16" s="252">
        <f>4*IF(E16&lt;=3,E16*'[3]Base Costs'!$B$8,IF(F16&lt;=3,F16*'[3]Base Costs'!$B$9,'[3]Base Costs'!$B$10*G16))</f>
        <v>4400</v>
      </c>
      <c r="J16" s="253">
        <f>C16*'[3]Base Costs'!$B$6</f>
        <v>39.945704799505947</v>
      </c>
      <c r="K16" s="250">
        <f t="shared" si="3"/>
        <v>5</v>
      </c>
      <c r="L16" s="250">
        <f t="shared" si="4"/>
        <v>1</v>
      </c>
      <c r="M16" s="250">
        <f t="shared" si="5"/>
        <v>1</v>
      </c>
      <c r="N16" s="251">
        <f>4*J16*'[3]Base Costs'!$B$7</f>
        <v>7938.969154673011</v>
      </c>
      <c r="O16" s="252">
        <f>4*IF(K16&lt;=3,K16*'[3]Base Costs'!$B$8,IF(L16&lt;=3,L16*'[3]Base Costs'!$B$9,'[3]Base Costs'!$B$10*M16))</f>
        <v>1400</v>
      </c>
      <c r="P16" s="252">
        <f>4*C16*'[3]Base Costs'!$B$11</f>
        <v>31453.310865752712</v>
      </c>
      <c r="Q16">
        <f>'[3]Base Costs'!$B$13+'[3]Base Costs'!$B$14</f>
        <v>414</v>
      </c>
      <c r="R16" s="239">
        <f>'[3]Base Costs'!$D$2</f>
        <v>1105.3024868650327</v>
      </c>
      <c r="S16" s="254">
        <f t="shared" si="6"/>
        <v>10858.271641538044</v>
      </c>
    </row>
    <row r="17" spans="1:23" x14ac:dyDescent="0.25">
      <c r="A17" s="248" t="s">
        <v>872</v>
      </c>
      <c r="B17" s="248" t="s">
        <v>890</v>
      </c>
      <c r="C17" s="249">
        <v>322.27632811570192</v>
      </c>
      <c r="D17" s="250">
        <f>C17*'[3]Base Costs'!$B$5</f>
        <v>322.27632811570192</v>
      </c>
      <c r="E17" s="250">
        <f t="shared" si="0"/>
        <v>41</v>
      </c>
      <c r="F17" s="250">
        <f t="shared" si="1"/>
        <v>9</v>
      </c>
      <c r="G17" s="250">
        <f t="shared" si="2"/>
        <v>3</v>
      </c>
      <c r="H17" s="251">
        <f>4*D17*'[3]Base Costs'!$B$7</f>
        <v>64050.48655502707</v>
      </c>
      <c r="I17" s="252">
        <f>4*IF(E17&lt;=3,E17*'[3]Base Costs'!$B$8,IF(F17&lt;=3,F17*'[3]Base Costs'!$B$9,'[3]Base Costs'!$B$10*G17))</f>
        <v>13200</v>
      </c>
      <c r="J17" s="253">
        <f>C17*'[3]Base Costs'!$B$6</f>
        <v>81.858187341388287</v>
      </c>
      <c r="K17" s="250">
        <f t="shared" si="3"/>
        <v>11</v>
      </c>
      <c r="L17" s="250">
        <f t="shared" si="4"/>
        <v>3</v>
      </c>
      <c r="M17" s="250">
        <f t="shared" si="5"/>
        <v>1</v>
      </c>
      <c r="N17" s="251">
        <f>4*J17*'[3]Base Costs'!$B$7</f>
        <v>16268.823584976875</v>
      </c>
      <c r="O17" s="252">
        <f>4*IF(K17&lt;=3,K17*'[3]Base Costs'!$B$8,IF(L17&lt;=3,L17*'[3]Base Costs'!$B$9,'[3]Base Costs'!$B$10*M17))</f>
        <v>4200</v>
      </c>
      <c r="P17" s="252">
        <f>4*C17*'[3]Base Costs'!$B$11</f>
        <v>64455.265623140382</v>
      </c>
      <c r="Q17">
        <f>'[3]Base Costs'!$B$13+'[3]Base Costs'!$B$14</f>
        <v>414</v>
      </c>
      <c r="R17" s="239">
        <f>'[3]Base Costs'!$D$2</f>
        <v>1105.3024868650327</v>
      </c>
      <c r="S17" s="254">
        <f t="shared" si="6"/>
        <v>21988.126071841907</v>
      </c>
      <c r="U17" s="257" t="s">
        <v>1122</v>
      </c>
    </row>
    <row r="18" spans="1:23" x14ac:dyDescent="0.25">
      <c r="A18" s="248" t="s">
        <v>872</v>
      </c>
      <c r="B18" s="248" t="s">
        <v>891</v>
      </c>
      <c r="C18" s="249">
        <v>304.42153626976796</v>
      </c>
      <c r="D18" s="250">
        <f>C18*'[3]Base Costs'!$B$5</f>
        <v>304.42153626976796</v>
      </c>
      <c r="E18" s="250">
        <f t="shared" si="0"/>
        <v>39</v>
      </c>
      <c r="F18" s="250">
        <f t="shared" si="1"/>
        <v>8</v>
      </c>
      <c r="G18" s="250">
        <f t="shared" si="2"/>
        <v>2</v>
      </c>
      <c r="H18" s="251">
        <f>4*D18*'[3]Base Costs'!$B$7</f>
        <v>60501.95380439877</v>
      </c>
      <c r="I18" s="252">
        <f>4*IF(E18&lt;=3,E18*'[3]Base Costs'!$B$8,IF(F18&lt;=3,F18*'[3]Base Costs'!$B$9,'[3]Base Costs'!$B$10*G18))</f>
        <v>8800</v>
      </c>
      <c r="J18" s="253">
        <f>C18*'[3]Base Costs'!$B$6</f>
        <v>77.32307021252106</v>
      </c>
      <c r="K18" s="250">
        <f t="shared" si="3"/>
        <v>10</v>
      </c>
      <c r="L18" s="250">
        <f t="shared" si="4"/>
        <v>2</v>
      </c>
      <c r="M18" s="250">
        <f t="shared" si="5"/>
        <v>1</v>
      </c>
      <c r="N18" s="251">
        <f>4*J18*'[3]Base Costs'!$B$7</f>
        <v>15367.496266317288</v>
      </c>
      <c r="O18" s="252">
        <f>4*IF(K18&lt;=3,K18*'[3]Base Costs'!$B$8,IF(L18&lt;=3,L18*'[3]Base Costs'!$B$9,'[3]Base Costs'!$B$10*M18))</f>
        <v>2800</v>
      </c>
      <c r="P18" s="252">
        <f>4*C18*'[3]Base Costs'!$B$11</f>
        <v>60884.307253953593</v>
      </c>
      <c r="Q18">
        <f>'[3]Base Costs'!$B$13+'[3]Base Costs'!$B$14</f>
        <v>414</v>
      </c>
      <c r="R18" s="239">
        <f>'[3]Base Costs'!$D$2</f>
        <v>1105.3024868650327</v>
      </c>
      <c r="S18" s="254">
        <f t="shared" si="6"/>
        <v>19686.79875318232</v>
      </c>
      <c r="U18" t="s">
        <v>1123</v>
      </c>
      <c r="W18" t="s">
        <v>1124</v>
      </c>
    </row>
    <row r="19" spans="1:23" x14ac:dyDescent="0.25">
      <c r="A19" s="248" t="s">
        <v>872</v>
      </c>
      <c r="B19" s="248" t="s">
        <v>892</v>
      </c>
      <c r="C19" s="249">
        <v>113.16338214717844</v>
      </c>
      <c r="D19" s="250">
        <f>C19*'[3]Base Costs'!$B$5</f>
        <v>113.16338214717844</v>
      </c>
      <c r="E19" s="250">
        <f t="shared" si="0"/>
        <v>15</v>
      </c>
      <c r="F19" s="250">
        <f t="shared" si="1"/>
        <v>3</v>
      </c>
      <c r="G19" s="250">
        <f t="shared" si="2"/>
        <v>1</v>
      </c>
      <c r="H19" s="251">
        <f>4*D19*'[3]Base Costs'!$B$7</f>
        <v>22490.543221458836</v>
      </c>
      <c r="I19" s="252">
        <f>4*IF(E19&lt;=3,E19*'[3]Base Costs'!$B$8,IF(F19&lt;=3,F19*'[3]Base Costs'!$B$9,'[3]Base Costs'!$B$10*G19))</f>
        <v>4200</v>
      </c>
      <c r="J19" s="253">
        <f>C19*'[3]Base Costs'!$B$6</f>
        <v>28.743499065383325</v>
      </c>
      <c r="K19" s="250">
        <f t="shared" si="3"/>
        <v>4</v>
      </c>
      <c r="L19" s="250">
        <f t="shared" si="4"/>
        <v>1</v>
      </c>
      <c r="M19" s="250">
        <f t="shared" si="5"/>
        <v>1</v>
      </c>
      <c r="N19" s="251">
        <f>4*J19*'[3]Base Costs'!$B$7</f>
        <v>5712.5979782505447</v>
      </c>
      <c r="O19" s="252">
        <f>4*IF(K19&lt;=3,K19*'[3]Base Costs'!$B$8,IF(L19&lt;=3,L19*'[3]Base Costs'!$B$9,'[3]Base Costs'!$B$10*M19))</f>
        <v>1400</v>
      </c>
      <c r="P19" s="252">
        <f>4*C19*'[3]Base Costs'!$B$11</f>
        <v>22632.676429435687</v>
      </c>
      <c r="Q19">
        <f>'[3]Base Costs'!$B$13+'[3]Base Costs'!$B$14</f>
        <v>414</v>
      </c>
      <c r="R19" s="239">
        <f>'[3]Base Costs'!$D$2</f>
        <v>1105.3024868650327</v>
      </c>
      <c r="S19" s="254">
        <f t="shared" si="6"/>
        <v>8631.9004651155774</v>
      </c>
      <c r="U19" t="s">
        <v>1125</v>
      </c>
      <c r="W19" t="s">
        <v>1126</v>
      </c>
    </row>
    <row r="20" spans="1:23" x14ac:dyDescent="0.25">
      <c r="A20" s="248" t="s">
        <v>872</v>
      </c>
      <c r="B20" s="248" t="s">
        <v>893</v>
      </c>
      <c r="C20" s="249">
        <v>76.934951075436913</v>
      </c>
      <c r="D20" s="250">
        <f>C20*'[3]Base Costs'!$B$5</f>
        <v>76.934951075436913</v>
      </c>
      <c r="E20" s="250">
        <f t="shared" si="0"/>
        <v>10</v>
      </c>
      <c r="F20" s="250">
        <f t="shared" si="1"/>
        <v>2</v>
      </c>
      <c r="G20" s="250">
        <f t="shared" si="2"/>
        <v>1</v>
      </c>
      <c r="H20" s="251">
        <f>4*D20*'[3]Base Costs'!$B$7</f>
        <v>15290.359916536636</v>
      </c>
      <c r="I20" s="252">
        <f>4*IF(E20&lt;=3,E20*'[3]Base Costs'!$B$8,IF(F20&lt;=3,F20*'[3]Base Costs'!$B$9,'[3]Base Costs'!$B$10*G20))</f>
        <v>2800</v>
      </c>
      <c r="J20" s="253">
        <f>C20*'[3]Base Costs'!$B$6</f>
        <v>19.541477573160975</v>
      </c>
      <c r="K20" s="250">
        <f t="shared" si="3"/>
        <v>3</v>
      </c>
      <c r="L20" s="250">
        <f t="shared" si="4"/>
        <v>1</v>
      </c>
      <c r="M20" s="250">
        <f t="shared" si="5"/>
        <v>1</v>
      </c>
      <c r="N20" s="251">
        <f>4*J20*'[3]Base Costs'!$B$7</f>
        <v>3883.7514188003056</v>
      </c>
      <c r="O20" s="252">
        <f>4*IF(K20&lt;=3,K20*'[3]Base Costs'!$B$8,IF(L20&lt;=3,L20*'[3]Base Costs'!$B$9,'[3]Base Costs'!$B$10*M20))</f>
        <v>1500</v>
      </c>
      <c r="P20" s="252">
        <f>4*C20*'[3]Base Costs'!$B$11</f>
        <v>15386.990215087382</v>
      </c>
      <c r="Q20">
        <f>'[3]Base Costs'!$B$13+'[3]Base Costs'!$B$14</f>
        <v>414</v>
      </c>
      <c r="R20" s="239">
        <f>'[3]Base Costs'!$D$2</f>
        <v>1105.3024868650327</v>
      </c>
      <c r="S20" s="254">
        <f t="shared" si="6"/>
        <v>6903.0539056653379</v>
      </c>
      <c r="W20" t="s">
        <v>1127</v>
      </c>
    </row>
    <row r="21" spans="1:23" x14ac:dyDescent="0.25">
      <c r="A21" s="248" t="s">
        <v>872</v>
      </c>
      <c r="B21" s="248" t="s">
        <v>894</v>
      </c>
      <c r="C21" s="249">
        <v>90.016658421579308</v>
      </c>
      <c r="D21" s="250">
        <f>C21*'[3]Base Costs'!$B$5</f>
        <v>90.016658421579308</v>
      </c>
      <c r="E21" s="250">
        <f t="shared" si="0"/>
        <v>12</v>
      </c>
      <c r="F21" s="250">
        <f t="shared" si="1"/>
        <v>3</v>
      </c>
      <c r="G21" s="250">
        <f t="shared" si="2"/>
        <v>1</v>
      </c>
      <c r="H21" s="251">
        <f>4*D21*'[3]Base Costs'!$B$7</f>
        <v>17890.270761338361</v>
      </c>
      <c r="I21" s="252">
        <f>4*IF(E21&lt;=3,E21*'[3]Base Costs'!$B$8,IF(F21&lt;=3,F21*'[3]Base Costs'!$B$9,'[3]Base Costs'!$B$10*G21))</f>
        <v>4200</v>
      </c>
      <c r="J21" s="253">
        <f>C21*'[3]Base Costs'!$B$6</f>
        <v>22.864231239081146</v>
      </c>
      <c r="K21" s="250">
        <f t="shared" si="3"/>
        <v>3</v>
      </c>
      <c r="L21" s="250">
        <f t="shared" si="4"/>
        <v>1</v>
      </c>
      <c r="M21" s="250">
        <f t="shared" si="5"/>
        <v>1</v>
      </c>
      <c r="N21" s="251">
        <f>4*J21*'[3]Base Costs'!$B$7</f>
        <v>4544.1287733799436</v>
      </c>
      <c r="O21" s="252">
        <f>4*IF(K21&lt;=3,K21*'[3]Base Costs'!$B$8,IF(L21&lt;=3,L21*'[3]Base Costs'!$B$9,'[3]Base Costs'!$B$10*M21))</f>
        <v>1500</v>
      </c>
      <c r="P21" s="252">
        <f>4*C21*'[3]Base Costs'!$B$11</f>
        <v>18003.331684315861</v>
      </c>
      <c r="Q21">
        <f>'[3]Base Costs'!$B$13+'[3]Base Costs'!$B$14</f>
        <v>414</v>
      </c>
      <c r="R21" s="239">
        <f>'[3]Base Costs'!$D$2</f>
        <v>1105.3024868650327</v>
      </c>
      <c r="S21" s="254">
        <f t="shared" si="6"/>
        <v>7563.4312602449763</v>
      </c>
    </row>
    <row r="22" spans="1:23" x14ac:dyDescent="0.25">
      <c r="A22" s="248" t="s">
        <v>872</v>
      </c>
      <c r="B22" s="248" t="s">
        <v>895</v>
      </c>
      <c r="C22" s="249">
        <v>210.43355266449706</v>
      </c>
      <c r="D22" s="250">
        <f>C22*'[3]Base Costs'!$B$5</f>
        <v>210.43355266449706</v>
      </c>
      <c r="E22" s="250">
        <f t="shared" si="0"/>
        <v>27</v>
      </c>
      <c r="F22" s="250">
        <f t="shared" si="1"/>
        <v>6</v>
      </c>
      <c r="G22" s="250">
        <f t="shared" si="2"/>
        <v>2</v>
      </c>
      <c r="H22" s="251">
        <f>4*D22*'[3]Base Costs'!$B$7</f>
        <v>41822.405990752806</v>
      </c>
      <c r="I22" s="252">
        <f>4*IF(E22&lt;=3,E22*'[3]Base Costs'!$B$8,IF(F22&lt;=3,F22*'[3]Base Costs'!$B$9,'[3]Base Costs'!$B$10*G22))</f>
        <v>8800</v>
      </c>
      <c r="J22" s="253">
        <f>C22*'[3]Base Costs'!$B$6</f>
        <v>53.450122376782254</v>
      </c>
      <c r="K22" s="250">
        <f t="shared" si="3"/>
        <v>7</v>
      </c>
      <c r="L22" s="250">
        <f t="shared" si="4"/>
        <v>2</v>
      </c>
      <c r="M22" s="250">
        <f t="shared" si="5"/>
        <v>1</v>
      </c>
      <c r="N22" s="251">
        <f>4*J22*'[3]Base Costs'!$B$7</f>
        <v>10622.891121651213</v>
      </c>
      <c r="O22" s="252">
        <f>4*IF(K22&lt;=3,K22*'[3]Base Costs'!$B$8,IF(L22&lt;=3,L22*'[3]Base Costs'!$B$9,'[3]Base Costs'!$B$10*M22))</f>
        <v>2800</v>
      </c>
      <c r="P22" s="252">
        <f>4*C22*'[3]Base Costs'!$B$11</f>
        <v>42086.710532899415</v>
      </c>
      <c r="Q22">
        <f>'[3]Base Costs'!$B$13+'[3]Base Costs'!$B$14</f>
        <v>414</v>
      </c>
      <c r="R22" s="239">
        <f>'[3]Base Costs'!$D$2</f>
        <v>1105.3024868650327</v>
      </c>
      <c r="S22" s="254">
        <f t="shared" si="6"/>
        <v>14942.193608516245</v>
      </c>
    </row>
    <row r="23" spans="1:23" x14ac:dyDescent="0.25">
      <c r="A23" s="248" t="s">
        <v>872</v>
      </c>
      <c r="B23" s="248" t="s">
        <v>896</v>
      </c>
      <c r="C23" s="249">
        <v>76.84829452797004</v>
      </c>
      <c r="D23" s="250">
        <f>C23*'[3]Base Costs'!$B$5</f>
        <v>76.84829452797004</v>
      </c>
      <c r="E23" s="250">
        <f t="shared" si="0"/>
        <v>10</v>
      </c>
      <c r="F23" s="250">
        <f t="shared" si="1"/>
        <v>2</v>
      </c>
      <c r="G23" s="250">
        <f t="shared" si="2"/>
        <v>1</v>
      </c>
      <c r="H23" s="251">
        <f>4*D23*'[3]Base Costs'!$B$7</f>
        <v>15273.137447666881</v>
      </c>
      <c r="I23" s="252">
        <f>4*IF(E23&lt;=3,E23*'[3]Base Costs'!$B$8,IF(F23&lt;=3,F23*'[3]Base Costs'!$B$9,'[3]Base Costs'!$B$10*G23))</f>
        <v>2800</v>
      </c>
      <c r="J23" s="253">
        <f>C23*'[3]Base Costs'!$B$6</f>
        <v>19.51946681010439</v>
      </c>
      <c r="K23" s="250">
        <f t="shared" si="3"/>
        <v>3</v>
      </c>
      <c r="L23" s="250">
        <f t="shared" si="4"/>
        <v>1</v>
      </c>
      <c r="M23" s="250">
        <f t="shared" si="5"/>
        <v>1</v>
      </c>
      <c r="N23" s="251">
        <f>4*J23*'[3]Base Costs'!$B$7</f>
        <v>3879.3769117073875</v>
      </c>
      <c r="O23" s="252">
        <f>4*IF(K23&lt;=3,K23*'[3]Base Costs'!$B$8,IF(L23&lt;=3,L23*'[3]Base Costs'!$B$9,'[3]Base Costs'!$B$10*M23))</f>
        <v>1500</v>
      </c>
      <c r="P23" s="252">
        <f>4*C23*'[3]Base Costs'!$B$11</f>
        <v>15369.658905594008</v>
      </c>
      <c r="Q23">
        <f>'[3]Base Costs'!$B$13+'[3]Base Costs'!$B$14</f>
        <v>414</v>
      </c>
      <c r="R23" s="239">
        <f>'[3]Base Costs'!$D$2</f>
        <v>1105.3024868650327</v>
      </c>
      <c r="S23" s="254">
        <f t="shared" si="6"/>
        <v>6898.6793985724198</v>
      </c>
    </row>
    <row r="24" spans="1:23" x14ac:dyDescent="0.25">
      <c r="A24" s="248" t="s">
        <v>872</v>
      </c>
      <c r="B24" s="248" t="s">
        <v>897</v>
      </c>
      <c r="C24" s="249">
        <v>221.82226734534515</v>
      </c>
      <c r="D24" s="250">
        <f>C24*'[3]Base Costs'!$B$5</f>
        <v>221.82226734534515</v>
      </c>
      <c r="E24" s="250">
        <f t="shared" si="0"/>
        <v>28</v>
      </c>
      <c r="F24" s="250">
        <f t="shared" si="1"/>
        <v>6</v>
      </c>
      <c r="G24" s="250">
        <f t="shared" si="2"/>
        <v>2</v>
      </c>
      <c r="H24" s="251">
        <f>4*D24*'[3]Base Costs'!$B$7</f>
        <v>44085.844701283284</v>
      </c>
      <c r="I24" s="252">
        <f>4*IF(E24&lt;=3,E24*'[3]Base Costs'!$B$8,IF(F24&lt;=3,F24*'[3]Base Costs'!$B$9,'[3]Base Costs'!$B$10*G24))</f>
        <v>8800</v>
      </c>
      <c r="J24" s="253">
        <f>C24*'[3]Base Costs'!$B$6</f>
        <v>56.34285590571767</v>
      </c>
      <c r="K24" s="250">
        <f t="shared" si="3"/>
        <v>8</v>
      </c>
      <c r="L24" s="250">
        <f t="shared" si="4"/>
        <v>2</v>
      </c>
      <c r="M24" s="250">
        <f t="shared" si="5"/>
        <v>1</v>
      </c>
      <c r="N24" s="251">
        <f>4*J24*'[3]Base Costs'!$B$7</f>
        <v>11197.804554125954</v>
      </c>
      <c r="O24" s="252">
        <f>4*IF(K24&lt;=3,K24*'[3]Base Costs'!$B$8,IF(L24&lt;=3,L24*'[3]Base Costs'!$B$9,'[3]Base Costs'!$B$10*M24))</f>
        <v>2800</v>
      </c>
      <c r="P24" s="252">
        <f>4*C24*'[3]Base Costs'!$B$11</f>
        <v>44364.453469069034</v>
      </c>
      <c r="Q24">
        <f>'[3]Base Costs'!$B$13+'[3]Base Costs'!$B$14</f>
        <v>414</v>
      </c>
      <c r="R24" s="239">
        <f>'[3]Base Costs'!$D$2</f>
        <v>1105.3024868650327</v>
      </c>
      <c r="S24" s="254">
        <f t="shared" si="6"/>
        <v>15517.107040990988</v>
      </c>
    </row>
    <row r="25" spans="1:23" x14ac:dyDescent="0.25">
      <c r="A25" s="248" t="s">
        <v>872</v>
      </c>
      <c r="B25" s="248" t="s">
        <v>898</v>
      </c>
      <c r="C25" s="249">
        <v>325.47624526331674</v>
      </c>
      <c r="D25" s="250">
        <f>C25*'[3]Base Costs'!$B$5</f>
        <v>325.47624526331674</v>
      </c>
      <c r="E25" s="250">
        <f t="shared" si="0"/>
        <v>41</v>
      </c>
      <c r="F25" s="250">
        <f t="shared" si="1"/>
        <v>9</v>
      </c>
      <c r="G25" s="250">
        <f t="shared" si="2"/>
        <v>3</v>
      </c>
      <c r="H25" s="251">
        <f>4*D25*'[3]Base Costs'!$B$7</f>
        <v>64686.450888612635</v>
      </c>
      <c r="I25" s="252">
        <f>4*IF(E25&lt;=3,E25*'[3]Base Costs'!$B$8,IF(F25&lt;=3,F25*'[3]Base Costs'!$B$9,'[3]Base Costs'!$B$10*G25))</f>
        <v>13200</v>
      </c>
      <c r="J25" s="253">
        <f>C25*'[3]Base Costs'!$B$6</f>
        <v>82.670966296882455</v>
      </c>
      <c r="K25" s="250">
        <f t="shared" si="3"/>
        <v>11</v>
      </c>
      <c r="L25" s="250">
        <f t="shared" si="4"/>
        <v>3</v>
      </c>
      <c r="M25" s="250">
        <f t="shared" si="5"/>
        <v>1</v>
      </c>
      <c r="N25" s="251">
        <f>4*J25*'[3]Base Costs'!$B$7</f>
        <v>16430.358525707608</v>
      </c>
      <c r="O25" s="252">
        <f>4*IF(K25&lt;=3,K25*'[3]Base Costs'!$B$8,IF(L25&lt;=3,L25*'[3]Base Costs'!$B$9,'[3]Base Costs'!$B$10*M25))</f>
        <v>4200</v>
      </c>
      <c r="P25" s="252">
        <f>4*C25*'[3]Base Costs'!$B$11</f>
        <v>65095.249052663348</v>
      </c>
      <c r="Q25">
        <f>'[3]Base Costs'!$B$13+'[3]Base Costs'!$B$14</f>
        <v>414</v>
      </c>
      <c r="R25" s="239">
        <f>'[3]Base Costs'!$D$2</f>
        <v>1105.3024868650327</v>
      </c>
      <c r="S25" s="254">
        <f t="shared" si="6"/>
        <v>22149.66101257264</v>
      </c>
    </row>
    <row r="26" spans="1:23" x14ac:dyDescent="0.25">
      <c r="A26" s="248" t="s">
        <v>872</v>
      </c>
      <c r="B26" s="248" t="s">
        <v>899</v>
      </c>
      <c r="C26" s="249">
        <v>242.11365247335951</v>
      </c>
      <c r="D26" s="250">
        <f>C26*'[3]Base Costs'!$B$5</f>
        <v>242.11365247335951</v>
      </c>
      <c r="E26" s="250">
        <f t="shared" si="0"/>
        <v>31</v>
      </c>
      <c r="F26" s="250">
        <f t="shared" si="1"/>
        <v>7</v>
      </c>
      <c r="G26" s="250">
        <f t="shared" si="2"/>
        <v>2</v>
      </c>
      <c r="H26" s="251">
        <f>4*D26*'[3]Base Costs'!$B$7</f>
        <v>48118.635747165368</v>
      </c>
      <c r="I26" s="252">
        <f>4*IF(E26&lt;=3,E26*'[3]Base Costs'!$B$8,IF(F26&lt;=3,F26*'[3]Base Costs'!$B$9,'[3]Base Costs'!$B$10*G26))</f>
        <v>8800</v>
      </c>
      <c r="J26" s="253">
        <f>C26*'[3]Base Costs'!$B$6</f>
        <v>61.496867728233319</v>
      </c>
      <c r="K26" s="250">
        <f t="shared" si="3"/>
        <v>8</v>
      </c>
      <c r="L26" s="250">
        <f t="shared" si="4"/>
        <v>2</v>
      </c>
      <c r="M26" s="250">
        <f t="shared" si="5"/>
        <v>1</v>
      </c>
      <c r="N26" s="251">
        <f>4*J26*'[3]Base Costs'!$B$7</f>
        <v>12222.133479780005</v>
      </c>
      <c r="O26" s="252">
        <f>4*IF(K26&lt;=3,K26*'[3]Base Costs'!$B$8,IF(L26&lt;=3,L26*'[3]Base Costs'!$B$9,'[3]Base Costs'!$B$10*M26))</f>
        <v>2800</v>
      </c>
      <c r="P26" s="252">
        <f>4*C26*'[3]Base Costs'!$B$11</f>
        <v>48422.730494671901</v>
      </c>
      <c r="Q26">
        <f>'[3]Base Costs'!$B$13+'[3]Base Costs'!$B$14</f>
        <v>414</v>
      </c>
      <c r="R26" s="239">
        <f>'[3]Base Costs'!$D$2</f>
        <v>1105.3024868650327</v>
      </c>
      <c r="S26" s="254">
        <f t="shared" si="6"/>
        <v>16541.435966645036</v>
      </c>
    </row>
    <row r="27" spans="1:23" x14ac:dyDescent="0.25">
      <c r="A27" s="248" t="s">
        <v>872</v>
      </c>
      <c r="B27" s="248" t="s">
        <v>900</v>
      </c>
      <c r="C27" s="249">
        <v>58.002069254189578</v>
      </c>
      <c r="D27" s="250">
        <f>C27*'[3]Base Costs'!$B$5</f>
        <v>58.002069254189578</v>
      </c>
      <c r="E27" s="250">
        <f t="shared" si="0"/>
        <v>8</v>
      </c>
      <c r="F27" s="250">
        <f t="shared" si="1"/>
        <v>2</v>
      </c>
      <c r="G27" s="250">
        <f t="shared" si="2"/>
        <v>1</v>
      </c>
      <c r="H27" s="251">
        <f>4*D27*'[3]Base Costs'!$B$7</f>
        <v>11527.563251854655</v>
      </c>
      <c r="I27" s="252">
        <f>4*IF(E27&lt;=3,E27*'[3]Base Costs'!$B$8,IF(F27&lt;=3,F27*'[3]Base Costs'!$B$9,'[3]Base Costs'!$B$10*G27))</f>
        <v>2800</v>
      </c>
      <c r="J27" s="253">
        <f>C27*'[3]Base Costs'!$B$6</f>
        <v>14.732525590564153</v>
      </c>
      <c r="K27" s="250">
        <f t="shared" si="3"/>
        <v>2</v>
      </c>
      <c r="L27" s="250">
        <f t="shared" si="4"/>
        <v>1</v>
      </c>
      <c r="M27" s="250">
        <f t="shared" si="5"/>
        <v>1</v>
      </c>
      <c r="N27" s="251">
        <f>4*J27*'[3]Base Costs'!$B$7</f>
        <v>2928.0010659710824</v>
      </c>
      <c r="O27" s="252">
        <f>4*IF(K27&lt;=3,K27*'[3]Base Costs'!$B$8,IF(L27&lt;=3,L27*'[3]Base Costs'!$B$9,'[3]Base Costs'!$B$10*M27))</f>
        <v>1000</v>
      </c>
      <c r="P27" s="252">
        <f>4*C27*'[3]Base Costs'!$B$11</f>
        <v>11600.413850837916</v>
      </c>
      <c r="Q27">
        <f>'[3]Base Costs'!$B$13+'[3]Base Costs'!$B$14</f>
        <v>414</v>
      </c>
      <c r="R27" s="239">
        <f>'[3]Base Costs'!$D$2</f>
        <v>1105.3024868650327</v>
      </c>
      <c r="S27" s="254">
        <f t="shared" si="6"/>
        <v>5447.3035528361152</v>
      </c>
    </row>
    <row r="28" spans="1:23" x14ac:dyDescent="0.25">
      <c r="A28" s="248" t="s">
        <v>872</v>
      </c>
      <c r="B28" s="248" t="s">
        <v>901</v>
      </c>
      <c r="C28" s="249">
        <v>282.41881699192578</v>
      </c>
      <c r="D28" s="250">
        <f>C28*'[3]Base Costs'!$B$5</f>
        <v>282.41881699192578</v>
      </c>
      <c r="E28" s="250">
        <f t="shared" si="0"/>
        <v>36</v>
      </c>
      <c r="F28" s="250">
        <f t="shared" si="1"/>
        <v>8</v>
      </c>
      <c r="G28" s="250">
        <f t="shared" si="2"/>
        <v>2</v>
      </c>
      <c r="H28" s="251">
        <f>4*D28*'[3]Base Costs'!$B$7</f>
        <v>56129.045364243306</v>
      </c>
      <c r="I28" s="252">
        <f>4*IF(E28&lt;=3,E28*'[3]Base Costs'!$B$8,IF(F28&lt;=3,F28*'[3]Base Costs'!$B$9,'[3]Base Costs'!$B$10*G28))</f>
        <v>8800</v>
      </c>
      <c r="J28" s="253">
        <f>C28*'[3]Base Costs'!$B$6</f>
        <v>71.734379515949144</v>
      </c>
      <c r="K28" s="250">
        <f t="shared" si="3"/>
        <v>9</v>
      </c>
      <c r="L28" s="250">
        <f t="shared" si="4"/>
        <v>2</v>
      </c>
      <c r="M28" s="250">
        <f t="shared" si="5"/>
        <v>1</v>
      </c>
      <c r="N28" s="251">
        <f>4*J28*'[3]Base Costs'!$B$7</f>
        <v>14256.777522517799</v>
      </c>
      <c r="O28" s="252">
        <f>4*IF(K28&lt;=3,K28*'[3]Base Costs'!$B$8,IF(L28&lt;=3,L28*'[3]Base Costs'!$B$9,'[3]Base Costs'!$B$10*M28))</f>
        <v>2800</v>
      </c>
      <c r="P28" s="252">
        <f>4*C28*'[3]Base Costs'!$B$11</f>
        <v>56483.763398385156</v>
      </c>
      <c r="Q28">
        <f>'[3]Base Costs'!$B$13+'[3]Base Costs'!$B$14</f>
        <v>414</v>
      </c>
      <c r="R28" s="239">
        <f>'[3]Base Costs'!$D$2</f>
        <v>1105.3024868650327</v>
      </c>
      <c r="S28" s="254">
        <f t="shared" si="6"/>
        <v>18576.080009382833</v>
      </c>
    </row>
    <row r="29" spans="1:23" x14ac:dyDescent="0.25">
      <c r="A29" s="248" t="s">
        <v>872</v>
      </c>
      <c r="B29" s="248" t="s">
        <v>902</v>
      </c>
      <c r="C29" s="249">
        <v>113.46003224567677</v>
      </c>
      <c r="D29" s="250">
        <f>C29*'[3]Base Costs'!$B$5</f>
        <v>113.46003224567677</v>
      </c>
      <c r="E29" s="250">
        <f t="shared" si="0"/>
        <v>15</v>
      </c>
      <c r="F29" s="250">
        <f t="shared" si="1"/>
        <v>3</v>
      </c>
      <c r="G29" s="250">
        <f t="shared" si="2"/>
        <v>1</v>
      </c>
      <c r="H29" s="251">
        <f>4*D29*'[3]Base Costs'!$B$7</f>
        <v>22549.500648634788</v>
      </c>
      <c r="I29" s="252">
        <f>4*IF(E29&lt;=3,E29*'[3]Base Costs'!$B$8,IF(F29&lt;=3,F29*'[3]Base Costs'!$B$9,'[3]Base Costs'!$B$10*G29))</f>
        <v>4200</v>
      </c>
      <c r="J29" s="253">
        <f>C29*'[3]Base Costs'!$B$6</f>
        <v>28.818848190401901</v>
      </c>
      <c r="K29" s="250">
        <f t="shared" si="3"/>
        <v>4</v>
      </c>
      <c r="L29" s="250">
        <f t="shared" si="4"/>
        <v>1</v>
      </c>
      <c r="M29" s="250">
        <f t="shared" si="5"/>
        <v>1</v>
      </c>
      <c r="N29" s="251">
        <f>4*J29*'[3]Base Costs'!$B$7</f>
        <v>5727.5731647532366</v>
      </c>
      <c r="O29" s="252">
        <f>4*IF(K29&lt;=3,K29*'[3]Base Costs'!$B$8,IF(L29&lt;=3,L29*'[3]Base Costs'!$B$9,'[3]Base Costs'!$B$10*M29))</f>
        <v>1400</v>
      </c>
      <c r="P29" s="252">
        <f>4*C29*'[3]Base Costs'!$B$11</f>
        <v>22692.006449135355</v>
      </c>
      <c r="Q29">
        <f>'[3]Base Costs'!$B$13+'[3]Base Costs'!$B$14</f>
        <v>414</v>
      </c>
      <c r="R29" s="239">
        <f>'[3]Base Costs'!$D$2</f>
        <v>1105.3024868650327</v>
      </c>
      <c r="S29" s="254">
        <f t="shared" si="6"/>
        <v>8646.8756516182693</v>
      </c>
    </row>
    <row r="30" spans="1:23" x14ac:dyDescent="0.25">
      <c r="A30" s="248" t="s">
        <v>872</v>
      </c>
      <c r="B30" s="248" t="s">
        <v>903</v>
      </c>
      <c r="C30" s="249">
        <v>317.23465535574741</v>
      </c>
      <c r="D30" s="250">
        <f>C30*'[3]Base Costs'!$B$5</f>
        <v>317.23465535574741</v>
      </c>
      <c r="E30" s="250">
        <f t="shared" si="0"/>
        <v>40</v>
      </c>
      <c r="F30" s="250">
        <f t="shared" si="1"/>
        <v>8</v>
      </c>
      <c r="G30" s="250">
        <f t="shared" si="2"/>
        <v>2</v>
      </c>
      <c r="H30" s="251">
        <f>4*D30*'[3]Base Costs'!$B$7</f>
        <v>63048.484344022669</v>
      </c>
      <c r="I30" s="252">
        <f>4*IF(E30&lt;=3,E30*'[3]Base Costs'!$B$8,IF(F30&lt;=3,F30*'[3]Base Costs'!$B$9,'[3]Base Costs'!$B$10*G30))</f>
        <v>8800</v>
      </c>
      <c r="J30" s="253">
        <f>C30*'[3]Base Costs'!$B$6</f>
        <v>80.577602460359842</v>
      </c>
      <c r="K30" s="250">
        <f t="shared" si="3"/>
        <v>11</v>
      </c>
      <c r="L30" s="250">
        <f t="shared" si="4"/>
        <v>3</v>
      </c>
      <c r="M30" s="250">
        <f t="shared" si="5"/>
        <v>1</v>
      </c>
      <c r="N30" s="251">
        <f>4*J30*'[3]Base Costs'!$B$7</f>
        <v>16014.315023381758</v>
      </c>
      <c r="O30" s="252">
        <f>4*IF(K30&lt;=3,K30*'[3]Base Costs'!$B$8,IF(L30&lt;=3,L30*'[3]Base Costs'!$B$9,'[3]Base Costs'!$B$10*M30))</f>
        <v>4200</v>
      </c>
      <c r="P30" s="252">
        <f>4*C30*'[3]Base Costs'!$B$11</f>
        <v>63446.931071149484</v>
      </c>
      <c r="Q30">
        <f>'[3]Base Costs'!$B$13+'[3]Base Costs'!$B$14</f>
        <v>414</v>
      </c>
      <c r="R30" s="239">
        <f>'[3]Base Costs'!$D$2</f>
        <v>1105.3024868650327</v>
      </c>
      <c r="S30" s="254">
        <f t="shared" si="6"/>
        <v>21733.61751024679</v>
      </c>
    </row>
    <row r="31" spans="1:23" x14ac:dyDescent="0.25">
      <c r="A31" s="248" t="s">
        <v>872</v>
      </c>
      <c r="B31" s="248" t="s">
        <v>904</v>
      </c>
      <c r="C31" s="249">
        <v>89.039838860000003</v>
      </c>
      <c r="D31" s="250">
        <f>C31*'[3]Base Costs'!$B$5</f>
        <v>89.039838860000003</v>
      </c>
      <c r="E31" s="250">
        <f t="shared" si="0"/>
        <v>12</v>
      </c>
      <c r="F31" s="250">
        <f t="shared" si="1"/>
        <v>3</v>
      </c>
      <c r="G31" s="250">
        <f t="shared" si="2"/>
        <v>1</v>
      </c>
      <c r="H31" s="251">
        <f>4*D31*'[3]Base Costs'!$B$7</f>
        <v>17696.133734391842</v>
      </c>
      <c r="I31" s="252">
        <f>4*IF(E31&lt;=3,E31*'[3]Base Costs'!$B$8,IF(F31&lt;=3,F31*'[3]Base Costs'!$B$9,'[3]Base Costs'!$B$10*G31))</f>
        <v>4200</v>
      </c>
      <c r="J31" s="253">
        <f>C31*'[3]Base Costs'!$B$6</f>
        <v>22.61611907044</v>
      </c>
      <c r="K31" s="250">
        <f t="shared" si="3"/>
        <v>3</v>
      </c>
      <c r="L31" s="250">
        <f t="shared" si="4"/>
        <v>1</v>
      </c>
      <c r="M31" s="250">
        <f t="shared" si="5"/>
        <v>1</v>
      </c>
      <c r="N31" s="251">
        <f>4*J31*'[3]Base Costs'!$B$7</f>
        <v>4494.8179685355281</v>
      </c>
      <c r="O31" s="252">
        <f>4*IF(K31&lt;=3,K31*'[3]Base Costs'!$B$8,IF(L31&lt;=3,L31*'[3]Base Costs'!$B$9,'[3]Base Costs'!$B$10*M31))</f>
        <v>1500</v>
      </c>
      <c r="P31" s="252">
        <f>4*C31*'[3]Base Costs'!$B$11</f>
        <v>17807.967772</v>
      </c>
      <c r="Q31">
        <f>'[3]Base Costs'!$B$13+'[3]Base Costs'!$B$14</f>
        <v>414</v>
      </c>
      <c r="R31" s="239">
        <f>'[3]Base Costs'!$D$2</f>
        <v>1105.3024868650327</v>
      </c>
      <c r="S31" s="254">
        <f t="shared" si="6"/>
        <v>7514.1204554005608</v>
      </c>
    </row>
    <row r="32" spans="1:23" x14ac:dyDescent="0.25">
      <c r="A32" s="248" t="s">
        <v>872</v>
      </c>
      <c r="B32" s="248" t="s">
        <v>905</v>
      </c>
      <c r="C32" s="249">
        <v>189.2220829766371</v>
      </c>
      <c r="D32" s="250">
        <f>C32*'[3]Base Costs'!$B$5</f>
        <v>189.2220829766371</v>
      </c>
      <c r="E32" s="250">
        <f t="shared" si="0"/>
        <v>24</v>
      </c>
      <c r="F32" s="250">
        <f t="shared" si="1"/>
        <v>5</v>
      </c>
      <c r="G32" s="250">
        <f t="shared" si="2"/>
        <v>2</v>
      </c>
      <c r="H32" s="251">
        <f>4*D32*'[3]Base Costs'!$B$7</f>
        <v>37606.75365910877</v>
      </c>
      <c r="I32" s="252">
        <f>4*IF(E32&lt;=3,E32*'[3]Base Costs'!$B$8,IF(F32&lt;=3,F32*'[3]Base Costs'!$B$9,'[3]Base Costs'!$B$10*G32))</f>
        <v>8800</v>
      </c>
      <c r="J32" s="253">
        <f>C32*'[3]Base Costs'!$B$6</f>
        <v>48.062409076065826</v>
      </c>
      <c r="K32" s="250">
        <f t="shared" si="3"/>
        <v>7</v>
      </c>
      <c r="L32" s="250">
        <f t="shared" si="4"/>
        <v>2</v>
      </c>
      <c r="M32" s="250">
        <f t="shared" si="5"/>
        <v>1</v>
      </c>
      <c r="N32" s="251">
        <f>4*J32*'[3]Base Costs'!$B$7</f>
        <v>9552.1154294136286</v>
      </c>
      <c r="O32" s="252">
        <f>4*IF(K32&lt;=3,K32*'[3]Base Costs'!$B$8,IF(L32&lt;=3,L32*'[3]Base Costs'!$B$9,'[3]Base Costs'!$B$10*M32))</f>
        <v>2800</v>
      </c>
      <c r="P32" s="252">
        <f>4*C32*'[3]Base Costs'!$B$11</f>
        <v>37844.416595327421</v>
      </c>
      <c r="Q32">
        <f>'[3]Base Costs'!$B$13+'[3]Base Costs'!$B$14</f>
        <v>414</v>
      </c>
      <c r="R32" s="239">
        <f>'[3]Base Costs'!$D$2</f>
        <v>1105.3024868650327</v>
      </c>
      <c r="S32" s="254">
        <f t="shared" si="6"/>
        <v>13871.41791627866</v>
      </c>
    </row>
    <row r="33" spans="1:19" x14ac:dyDescent="0.25">
      <c r="A33" s="248" t="s">
        <v>872</v>
      </c>
      <c r="B33" s="248" t="s">
        <v>906</v>
      </c>
      <c r="C33" s="249">
        <v>284.74574064572533</v>
      </c>
      <c r="D33" s="250">
        <f>C33*'[3]Base Costs'!$B$5</f>
        <v>284.74574064572533</v>
      </c>
      <c r="E33" s="250">
        <f t="shared" si="0"/>
        <v>36</v>
      </c>
      <c r="F33" s="250">
        <f t="shared" si="1"/>
        <v>8</v>
      </c>
      <c r="G33" s="250">
        <f t="shared" si="2"/>
        <v>2</v>
      </c>
      <c r="H33" s="251">
        <f>4*D33*'[3]Base Costs'!$B$7</f>
        <v>56591.507478894047</v>
      </c>
      <c r="I33" s="252">
        <f>4*IF(E33&lt;=3,E33*'[3]Base Costs'!$B$8,IF(F33&lt;=3,F33*'[3]Base Costs'!$B$9,'[3]Base Costs'!$B$10*G33))</f>
        <v>8800</v>
      </c>
      <c r="J33" s="253">
        <f>C33*'[3]Base Costs'!$B$6</f>
        <v>72.325418124014234</v>
      </c>
      <c r="K33" s="250">
        <f t="shared" si="3"/>
        <v>10</v>
      </c>
      <c r="L33" s="250">
        <f t="shared" si="4"/>
        <v>2</v>
      </c>
      <c r="M33" s="250">
        <f t="shared" si="5"/>
        <v>1</v>
      </c>
      <c r="N33" s="251">
        <f>4*J33*'[3]Base Costs'!$B$7</f>
        <v>14374.242899639086</v>
      </c>
      <c r="O33" s="252">
        <f>4*IF(K33&lt;=3,K33*'[3]Base Costs'!$B$8,IF(L33&lt;=3,L33*'[3]Base Costs'!$B$9,'[3]Base Costs'!$B$10*M33))</f>
        <v>2800</v>
      </c>
      <c r="P33" s="252">
        <f>4*C33*'[3]Base Costs'!$B$11</f>
        <v>56949.148129145069</v>
      </c>
      <c r="Q33">
        <f>'[3]Base Costs'!$B$13+'[3]Base Costs'!$B$14</f>
        <v>414</v>
      </c>
      <c r="R33" s="239">
        <f>'[3]Base Costs'!$D$2</f>
        <v>1105.3024868650327</v>
      </c>
      <c r="S33" s="254">
        <f t="shared" si="6"/>
        <v>18693.54538650412</v>
      </c>
    </row>
    <row r="34" spans="1:19" x14ac:dyDescent="0.25">
      <c r="A34" s="248" t="s">
        <v>872</v>
      </c>
      <c r="B34" s="248" t="s">
        <v>907</v>
      </c>
      <c r="C34" s="249">
        <v>163.69992608700417</v>
      </c>
      <c r="D34" s="250">
        <f>C34*'[3]Base Costs'!$B$5</f>
        <v>163.69992608700417</v>
      </c>
      <c r="E34" s="250">
        <f t="shared" si="0"/>
        <v>21</v>
      </c>
      <c r="F34" s="250">
        <f t="shared" si="1"/>
        <v>5</v>
      </c>
      <c r="G34" s="250">
        <f t="shared" si="2"/>
        <v>2</v>
      </c>
      <c r="H34" s="251">
        <f>4*D34*'[3]Base Costs'!$B$7</f>
        <v>32534.378110235561</v>
      </c>
      <c r="I34" s="252">
        <f>4*IF(E34&lt;=3,E34*'[3]Base Costs'!$B$8,IF(F34&lt;=3,F34*'[3]Base Costs'!$B$9,'[3]Base Costs'!$B$10*G34))</f>
        <v>8800</v>
      </c>
      <c r="J34" s="253">
        <f>C34*'[3]Base Costs'!$B$6</f>
        <v>41.579781226099058</v>
      </c>
      <c r="K34" s="250">
        <f t="shared" si="3"/>
        <v>6</v>
      </c>
      <c r="L34" s="250">
        <f t="shared" si="4"/>
        <v>2</v>
      </c>
      <c r="M34" s="250">
        <f t="shared" si="5"/>
        <v>1</v>
      </c>
      <c r="N34" s="251">
        <f>4*J34*'[3]Base Costs'!$B$7</f>
        <v>8263.7320399998316</v>
      </c>
      <c r="O34" s="252">
        <f>4*IF(K34&lt;=3,K34*'[3]Base Costs'!$B$8,IF(L34&lt;=3,L34*'[3]Base Costs'!$B$9,'[3]Base Costs'!$B$10*M34))</f>
        <v>2800</v>
      </c>
      <c r="P34" s="252">
        <f>4*C34*'[3]Base Costs'!$B$11</f>
        <v>32739.985217400834</v>
      </c>
      <c r="Q34">
        <f>'[3]Base Costs'!$B$13+'[3]Base Costs'!$B$14</f>
        <v>414</v>
      </c>
      <c r="R34" s="239">
        <f>'[3]Base Costs'!$D$2</f>
        <v>1105.3024868650327</v>
      </c>
      <c r="S34" s="254">
        <f t="shared" si="6"/>
        <v>12583.034526864863</v>
      </c>
    </row>
    <row r="35" spans="1:19" x14ac:dyDescent="0.25">
      <c r="A35" s="248" t="s">
        <v>872</v>
      </c>
      <c r="B35" s="248" t="s">
        <v>908</v>
      </c>
      <c r="C35" s="249">
        <v>379.90753905307531</v>
      </c>
      <c r="D35" s="250">
        <f>C35*'[3]Base Costs'!$B$5</f>
        <v>379.90753905307531</v>
      </c>
      <c r="E35" s="250">
        <f t="shared" si="0"/>
        <v>48</v>
      </c>
      <c r="F35" s="250">
        <f t="shared" si="1"/>
        <v>10</v>
      </c>
      <c r="G35" s="250">
        <f t="shared" si="2"/>
        <v>3</v>
      </c>
      <c r="H35" s="251">
        <f>4*D35*'[3]Base Costs'!$B$7</f>
        <v>75504.34394156441</v>
      </c>
      <c r="I35" s="252">
        <f>4*IF(E35&lt;=3,E35*'[3]Base Costs'!$B$8,IF(F35&lt;=3,F35*'[3]Base Costs'!$B$9,'[3]Base Costs'!$B$10*G35))</f>
        <v>13200</v>
      </c>
      <c r="J35" s="253">
        <f>C35*'[3]Base Costs'!$B$6</f>
        <v>96.496514919481129</v>
      </c>
      <c r="K35" s="250">
        <f t="shared" si="3"/>
        <v>13</v>
      </c>
      <c r="L35" s="250">
        <f t="shared" si="4"/>
        <v>3</v>
      </c>
      <c r="M35" s="250">
        <f t="shared" si="5"/>
        <v>1</v>
      </c>
      <c r="N35" s="251">
        <f>4*J35*'[3]Base Costs'!$B$7</f>
        <v>19178.103361157358</v>
      </c>
      <c r="O35" s="252">
        <f>4*IF(K35&lt;=3,K35*'[3]Base Costs'!$B$8,IF(L35&lt;=3,L35*'[3]Base Costs'!$B$9,'[3]Base Costs'!$B$10*M35))</f>
        <v>4200</v>
      </c>
      <c r="P35" s="252">
        <f>4*C35*'[3]Base Costs'!$B$11</f>
        <v>75981.507810615061</v>
      </c>
      <c r="Q35">
        <f>'[3]Base Costs'!$B$13+'[3]Base Costs'!$B$14</f>
        <v>414</v>
      </c>
      <c r="R35" s="239">
        <f>'[3]Base Costs'!$D$2</f>
        <v>1105.3024868650327</v>
      </c>
      <c r="S35" s="254">
        <f t="shared" si="6"/>
        <v>24897.40584802239</v>
      </c>
    </row>
    <row r="36" spans="1:19" x14ac:dyDescent="0.25">
      <c r="A36" s="248" t="s">
        <v>872</v>
      </c>
      <c r="B36" s="248" t="s">
        <v>909</v>
      </c>
      <c r="C36" s="249">
        <v>152.06862082217981</v>
      </c>
      <c r="D36" s="250">
        <f>C36*'[3]Base Costs'!$B$5</f>
        <v>152.06862082217981</v>
      </c>
      <c r="E36" s="250">
        <f t="shared" si="0"/>
        <v>20</v>
      </c>
      <c r="F36" s="250">
        <f t="shared" si="1"/>
        <v>4</v>
      </c>
      <c r="G36" s="250">
        <f t="shared" si="2"/>
        <v>1</v>
      </c>
      <c r="H36" s="251">
        <f>4*D36*'[3]Base Costs'!$B$7</f>
        <v>30222.725976683309</v>
      </c>
      <c r="I36" s="252">
        <f>4*IF(E36&lt;=3,E36*'[3]Base Costs'!$B$8,IF(F36&lt;=3,F36*'[3]Base Costs'!$B$9,'[3]Base Costs'!$B$10*G36))</f>
        <v>4400</v>
      </c>
      <c r="J36" s="253">
        <f>C36*'[3]Base Costs'!$B$6</f>
        <v>38.62542968883367</v>
      </c>
      <c r="K36" s="250">
        <f t="shared" si="3"/>
        <v>5</v>
      </c>
      <c r="L36" s="250">
        <f t="shared" si="4"/>
        <v>1</v>
      </c>
      <c r="M36" s="250">
        <f t="shared" si="5"/>
        <v>1</v>
      </c>
      <c r="N36" s="251">
        <f>4*J36*'[3]Base Costs'!$B$7</f>
        <v>7676.5723980775601</v>
      </c>
      <c r="O36" s="252">
        <f>4*IF(K36&lt;=3,K36*'[3]Base Costs'!$B$8,IF(L36&lt;=3,L36*'[3]Base Costs'!$B$9,'[3]Base Costs'!$B$10*M36))</f>
        <v>1400</v>
      </c>
      <c r="P36" s="252">
        <f>4*C36*'[3]Base Costs'!$B$11</f>
        <v>30413.72416443596</v>
      </c>
      <c r="Q36">
        <f>'[3]Base Costs'!$B$13+'[3]Base Costs'!$B$14</f>
        <v>414</v>
      </c>
      <c r="R36" s="239">
        <f>'[3]Base Costs'!$D$2</f>
        <v>1105.3024868650327</v>
      </c>
      <c r="S36" s="254">
        <f t="shared" si="6"/>
        <v>10595.874884942594</v>
      </c>
    </row>
    <row r="37" spans="1:19" x14ac:dyDescent="0.25">
      <c r="A37" s="248" t="s">
        <v>872</v>
      </c>
      <c r="B37" s="248" t="s">
        <v>910</v>
      </c>
      <c r="C37" s="249">
        <v>137.92587917082076</v>
      </c>
      <c r="D37" s="250">
        <f>C37*'[3]Base Costs'!$B$5</f>
        <v>137.92587917082076</v>
      </c>
      <c r="E37" s="250">
        <f t="shared" si="0"/>
        <v>18</v>
      </c>
      <c r="F37" s="250">
        <f t="shared" si="1"/>
        <v>4</v>
      </c>
      <c r="G37" s="250">
        <f t="shared" si="2"/>
        <v>1</v>
      </c>
      <c r="H37" s="251">
        <f>4*D37*'[3]Base Costs'!$B$7</f>
        <v>27411.940929925604</v>
      </c>
      <c r="I37" s="252">
        <f>4*IF(E37&lt;=3,E37*'[3]Base Costs'!$B$8,IF(F37&lt;=3,F37*'[3]Base Costs'!$B$9,'[3]Base Costs'!$B$10*G37))</f>
        <v>4400</v>
      </c>
      <c r="J37" s="253">
        <f>C37*'[3]Base Costs'!$B$6</f>
        <v>35.033173309388474</v>
      </c>
      <c r="K37" s="250">
        <f t="shared" si="3"/>
        <v>5</v>
      </c>
      <c r="L37" s="250">
        <f t="shared" si="4"/>
        <v>1</v>
      </c>
      <c r="M37" s="250">
        <f t="shared" si="5"/>
        <v>1</v>
      </c>
      <c r="N37" s="251">
        <f>4*J37*'[3]Base Costs'!$B$7</f>
        <v>6962.6329962011041</v>
      </c>
      <c r="O37" s="252">
        <f>4*IF(K37&lt;=3,K37*'[3]Base Costs'!$B$8,IF(L37&lt;=3,L37*'[3]Base Costs'!$B$9,'[3]Base Costs'!$B$10*M37))</f>
        <v>1400</v>
      </c>
      <c r="P37" s="252">
        <f>4*C37*'[3]Base Costs'!$B$11</f>
        <v>27585.175834164154</v>
      </c>
      <c r="Q37">
        <f>'[3]Base Costs'!$B$13+'[3]Base Costs'!$B$14</f>
        <v>414</v>
      </c>
      <c r="R37" s="239">
        <f>'[3]Base Costs'!$D$2</f>
        <v>1105.3024868650327</v>
      </c>
      <c r="S37" s="254">
        <f t="shared" si="6"/>
        <v>9881.9354830661359</v>
      </c>
    </row>
    <row r="38" spans="1:19" x14ac:dyDescent="0.25">
      <c r="A38" s="248" t="s">
        <v>872</v>
      </c>
      <c r="B38" s="248" t="s">
        <v>911</v>
      </c>
      <c r="C38" s="249">
        <v>216.90940794006988</v>
      </c>
      <c r="D38" s="250">
        <f>C38*'[3]Base Costs'!$B$5</f>
        <v>216.90940794006988</v>
      </c>
      <c r="E38" s="250">
        <f t="shared" si="0"/>
        <v>28</v>
      </c>
      <c r="F38" s="250">
        <f t="shared" si="1"/>
        <v>6</v>
      </c>
      <c r="G38" s="250">
        <f t="shared" si="2"/>
        <v>2</v>
      </c>
      <c r="H38" s="251">
        <f>4*D38*'[3]Base Costs'!$B$7</f>
        <v>43109.443371641253</v>
      </c>
      <c r="I38" s="252">
        <f>4*IF(E38&lt;=3,E38*'[3]Base Costs'!$B$8,IF(F38&lt;=3,F38*'[3]Base Costs'!$B$9,'[3]Base Costs'!$B$10*G38))</f>
        <v>8800</v>
      </c>
      <c r="J38" s="253">
        <f>C38*'[3]Base Costs'!$B$6</f>
        <v>55.094989616777752</v>
      </c>
      <c r="K38" s="250">
        <f t="shared" si="3"/>
        <v>7</v>
      </c>
      <c r="L38" s="250">
        <f t="shared" si="4"/>
        <v>2</v>
      </c>
      <c r="M38" s="250">
        <f t="shared" si="5"/>
        <v>1</v>
      </c>
      <c r="N38" s="251">
        <f>4*J38*'[3]Base Costs'!$B$7</f>
        <v>10949.79861639688</v>
      </c>
      <c r="O38" s="252">
        <f>4*IF(K38&lt;=3,K38*'[3]Base Costs'!$B$8,IF(L38&lt;=3,L38*'[3]Base Costs'!$B$9,'[3]Base Costs'!$B$10*M38))</f>
        <v>2800</v>
      </c>
      <c r="P38" s="252">
        <f>4*C38*'[3]Base Costs'!$B$11</f>
        <v>43381.881588013974</v>
      </c>
      <c r="Q38">
        <f>'[3]Base Costs'!$B$13+'[3]Base Costs'!$B$14</f>
        <v>414</v>
      </c>
      <c r="R38" s="239">
        <f>'[3]Base Costs'!$D$2</f>
        <v>1105.3024868650327</v>
      </c>
      <c r="S38" s="254">
        <f t="shared" si="6"/>
        <v>15269.101103261914</v>
      </c>
    </row>
    <row r="39" spans="1:19" x14ac:dyDescent="0.25">
      <c r="A39" s="248" t="s">
        <v>872</v>
      </c>
      <c r="B39" s="248" t="s">
        <v>912</v>
      </c>
      <c r="C39" s="249">
        <v>107.20252003133781</v>
      </c>
      <c r="D39" s="250">
        <f>C39*'[3]Base Costs'!$B$5</f>
        <v>107.20252003133781</v>
      </c>
      <c r="E39" s="250">
        <f t="shared" si="0"/>
        <v>14</v>
      </c>
      <c r="F39" s="250">
        <f t="shared" si="1"/>
        <v>3</v>
      </c>
      <c r="G39" s="250">
        <f t="shared" si="2"/>
        <v>1</v>
      </c>
      <c r="H39" s="251">
        <f>4*D39*'[3]Base Costs'!$B$7</f>
        <v>21305.857641108207</v>
      </c>
      <c r="I39" s="252">
        <f>4*IF(E39&lt;=3,E39*'[3]Base Costs'!$B$8,IF(F39&lt;=3,F39*'[3]Base Costs'!$B$9,'[3]Base Costs'!$B$10*G39))</f>
        <v>4200</v>
      </c>
      <c r="J39" s="253">
        <f>C39*'[3]Base Costs'!$B$6</f>
        <v>27.229440087959805</v>
      </c>
      <c r="K39" s="250">
        <f t="shared" si="3"/>
        <v>4</v>
      </c>
      <c r="L39" s="250">
        <f t="shared" si="4"/>
        <v>1</v>
      </c>
      <c r="M39" s="250">
        <f t="shared" si="5"/>
        <v>1</v>
      </c>
      <c r="N39" s="251">
        <f>4*J39*'[3]Base Costs'!$B$7</f>
        <v>5411.6878408414841</v>
      </c>
      <c r="O39" s="252">
        <f>4*IF(K39&lt;=3,K39*'[3]Base Costs'!$B$8,IF(L39&lt;=3,L39*'[3]Base Costs'!$B$9,'[3]Base Costs'!$B$10*M39))</f>
        <v>1400</v>
      </c>
      <c r="P39" s="252">
        <f>4*C39*'[3]Base Costs'!$B$11</f>
        <v>21440.504006267562</v>
      </c>
      <c r="Q39">
        <f>'[3]Base Costs'!$B$13+'[3]Base Costs'!$B$14</f>
        <v>414</v>
      </c>
      <c r="R39" s="239">
        <f>'[3]Base Costs'!$D$2</f>
        <v>1105.3024868650327</v>
      </c>
      <c r="S39" s="254">
        <f t="shared" si="6"/>
        <v>8330.9903277065168</v>
      </c>
    </row>
    <row r="40" spans="1:19" x14ac:dyDescent="0.25">
      <c r="A40" s="248" t="s">
        <v>872</v>
      </c>
      <c r="B40" s="248" t="s">
        <v>913</v>
      </c>
      <c r="C40" s="249">
        <v>78.148313864949003</v>
      </c>
      <c r="D40" s="250">
        <f>C40*'[3]Base Costs'!$B$5</f>
        <v>78.148313864949003</v>
      </c>
      <c r="E40" s="250">
        <f t="shared" si="0"/>
        <v>10</v>
      </c>
      <c r="F40" s="250">
        <f t="shared" si="1"/>
        <v>2</v>
      </c>
      <c r="G40" s="250">
        <f t="shared" si="2"/>
        <v>1</v>
      </c>
      <c r="H40" s="251">
        <f>4*D40*'[3]Base Costs'!$B$7</f>
        <v>15531.508490775426</v>
      </c>
      <c r="I40" s="252">
        <f>4*IF(E40&lt;=3,E40*'[3]Base Costs'!$B$8,IF(F40&lt;=3,F40*'[3]Base Costs'!$B$9,'[3]Base Costs'!$B$10*G40))</f>
        <v>2800</v>
      </c>
      <c r="J40" s="253">
        <f>C40*'[3]Base Costs'!$B$6</f>
        <v>19.849671721697046</v>
      </c>
      <c r="K40" s="250">
        <f t="shared" si="3"/>
        <v>3</v>
      </c>
      <c r="L40" s="250">
        <f t="shared" si="4"/>
        <v>1</v>
      </c>
      <c r="M40" s="250">
        <f t="shared" si="5"/>
        <v>1</v>
      </c>
      <c r="N40" s="251">
        <f>4*J40*'[3]Base Costs'!$B$7</f>
        <v>3945.0031566569583</v>
      </c>
      <c r="O40" s="252">
        <f>4*IF(K40&lt;=3,K40*'[3]Base Costs'!$B$8,IF(L40&lt;=3,L40*'[3]Base Costs'!$B$9,'[3]Base Costs'!$B$10*M40))</f>
        <v>1500</v>
      </c>
      <c r="P40" s="252">
        <f>4*C40*'[3]Base Costs'!$B$11</f>
        <v>15629.662772989801</v>
      </c>
      <c r="Q40">
        <f>'[3]Base Costs'!$B$13+'[3]Base Costs'!$B$14</f>
        <v>414</v>
      </c>
      <c r="R40" s="239">
        <f>'[3]Base Costs'!$D$2</f>
        <v>1105.3024868650327</v>
      </c>
      <c r="S40" s="254">
        <f t="shared" si="6"/>
        <v>6964.3056435219914</v>
      </c>
    </row>
    <row r="41" spans="1:19" x14ac:dyDescent="0.25">
      <c r="A41" s="248" t="s">
        <v>872</v>
      </c>
      <c r="B41" s="248" t="s">
        <v>914</v>
      </c>
      <c r="C41" s="249">
        <v>84.100704120000003</v>
      </c>
      <c r="D41" s="250">
        <f>C41*'[3]Base Costs'!$B$5</f>
        <v>84.100704120000003</v>
      </c>
      <c r="E41" s="250">
        <f t="shared" si="0"/>
        <v>11</v>
      </c>
      <c r="F41" s="250">
        <f t="shared" si="1"/>
        <v>3</v>
      </c>
      <c r="G41" s="250">
        <f t="shared" si="2"/>
        <v>1</v>
      </c>
      <c r="H41" s="251">
        <f>4*D41*'[3]Base Costs'!$B$7</f>
        <v>16714.510339625282</v>
      </c>
      <c r="I41" s="252">
        <f>4*IF(E41&lt;=3,E41*'[3]Base Costs'!$B$8,IF(F41&lt;=3,F41*'[3]Base Costs'!$B$9,'[3]Base Costs'!$B$10*G41))</f>
        <v>4200</v>
      </c>
      <c r="J41" s="253">
        <f>C41*'[3]Base Costs'!$B$6</f>
        <v>21.36157884648</v>
      </c>
      <c r="K41" s="250">
        <f t="shared" si="3"/>
        <v>3</v>
      </c>
      <c r="L41" s="250">
        <f t="shared" si="4"/>
        <v>1</v>
      </c>
      <c r="M41" s="250">
        <f t="shared" si="5"/>
        <v>1</v>
      </c>
      <c r="N41" s="251">
        <f>4*J41*'[3]Base Costs'!$B$7</f>
        <v>4245.4856262648218</v>
      </c>
      <c r="O41" s="252">
        <f>4*IF(K41&lt;=3,K41*'[3]Base Costs'!$B$8,IF(L41&lt;=3,L41*'[3]Base Costs'!$B$9,'[3]Base Costs'!$B$10*M41))</f>
        <v>1500</v>
      </c>
      <c r="P41" s="252">
        <f>4*C41*'[3]Base Costs'!$B$11</f>
        <v>16820.140824000002</v>
      </c>
      <c r="Q41">
        <f>'[3]Base Costs'!$B$13+'[3]Base Costs'!$B$14</f>
        <v>414</v>
      </c>
      <c r="R41" s="239">
        <f>'[3]Base Costs'!$D$2</f>
        <v>1105.3024868650327</v>
      </c>
      <c r="S41" s="254">
        <f t="shared" si="6"/>
        <v>7264.7881131298545</v>
      </c>
    </row>
    <row r="42" spans="1:19" x14ac:dyDescent="0.25">
      <c r="A42" s="248" t="s">
        <v>872</v>
      </c>
      <c r="B42" s="248" t="s">
        <v>915</v>
      </c>
      <c r="C42" s="249">
        <v>204.71121190144817</v>
      </c>
      <c r="D42" s="250">
        <f>C42*'[3]Base Costs'!$B$5</f>
        <v>204.71121190144817</v>
      </c>
      <c r="E42" s="250">
        <f t="shared" si="0"/>
        <v>26</v>
      </c>
      <c r="F42" s="250">
        <f t="shared" si="1"/>
        <v>6</v>
      </c>
      <c r="G42" s="250">
        <f t="shared" si="2"/>
        <v>2</v>
      </c>
      <c r="H42" s="251">
        <f>4*D42*'[3]Base Costs'!$B$7</f>
        <v>40685.12509814142</v>
      </c>
      <c r="I42" s="252">
        <f>4*IF(E42&lt;=3,E42*'[3]Base Costs'!$B$8,IF(F42&lt;=3,F42*'[3]Base Costs'!$B$9,'[3]Base Costs'!$B$10*G42))</f>
        <v>8800</v>
      </c>
      <c r="J42" s="253">
        <f>C42*'[3]Base Costs'!$B$6</f>
        <v>51.996647822967837</v>
      </c>
      <c r="K42" s="250">
        <f t="shared" si="3"/>
        <v>7</v>
      </c>
      <c r="L42" s="250">
        <f t="shared" si="4"/>
        <v>2</v>
      </c>
      <c r="M42" s="250">
        <f t="shared" si="5"/>
        <v>1</v>
      </c>
      <c r="N42" s="251">
        <f>4*J42*'[3]Base Costs'!$B$7</f>
        <v>10334.021774927922</v>
      </c>
      <c r="O42" s="252">
        <f>4*IF(K42&lt;=3,K42*'[3]Base Costs'!$B$8,IF(L42&lt;=3,L42*'[3]Base Costs'!$B$9,'[3]Base Costs'!$B$10*M42))</f>
        <v>2800</v>
      </c>
      <c r="P42" s="252">
        <f>4*C42*'[3]Base Costs'!$B$11</f>
        <v>40942.24238028963</v>
      </c>
      <c r="Q42">
        <f>'[3]Base Costs'!$B$13+'[3]Base Costs'!$B$14</f>
        <v>414</v>
      </c>
      <c r="R42" s="239">
        <f>'[3]Base Costs'!$D$2</f>
        <v>1105.3024868650327</v>
      </c>
      <c r="S42" s="254">
        <f t="shared" si="6"/>
        <v>14653.324261792954</v>
      </c>
    </row>
    <row r="43" spans="1:19" x14ac:dyDescent="0.25">
      <c r="A43" s="248" t="s">
        <v>872</v>
      </c>
      <c r="B43" s="248" t="s">
        <v>916</v>
      </c>
      <c r="C43" s="249">
        <v>58.000146891315531</v>
      </c>
      <c r="D43" s="250">
        <f>C43*'[3]Base Costs'!$B$5</f>
        <v>58.000146891315531</v>
      </c>
      <c r="E43" s="250">
        <f t="shared" si="0"/>
        <v>8</v>
      </c>
      <c r="F43" s="250">
        <f t="shared" si="1"/>
        <v>2</v>
      </c>
      <c r="G43" s="250">
        <f t="shared" si="2"/>
        <v>1</v>
      </c>
      <c r="H43" s="251">
        <f>4*D43*'[3]Base Costs'!$B$7</f>
        <v>11527.181193767616</v>
      </c>
      <c r="I43" s="252">
        <f>4*IF(E43&lt;=3,E43*'[3]Base Costs'!$B$8,IF(F43&lt;=3,F43*'[3]Base Costs'!$B$9,'[3]Base Costs'!$B$10*G43))</f>
        <v>2800</v>
      </c>
      <c r="J43" s="253">
        <f>C43*'[3]Base Costs'!$B$6</f>
        <v>14.732037310394144</v>
      </c>
      <c r="K43" s="250">
        <f t="shared" si="3"/>
        <v>2</v>
      </c>
      <c r="L43" s="250">
        <f t="shared" si="4"/>
        <v>1</v>
      </c>
      <c r="M43" s="250">
        <f t="shared" si="5"/>
        <v>1</v>
      </c>
      <c r="N43" s="251">
        <f>4*J43*'[3]Base Costs'!$B$7</f>
        <v>2927.9040232169741</v>
      </c>
      <c r="O43" s="252">
        <f>4*IF(K43&lt;=3,K43*'[3]Base Costs'!$B$8,IF(L43&lt;=3,L43*'[3]Base Costs'!$B$9,'[3]Base Costs'!$B$10*M43))</f>
        <v>1000</v>
      </c>
      <c r="P43" s="252">
        <f>4*C43*'[3]Base Costs'!$B$11</f>
        <v>11600.029378263107</v>
      </c>
      <c r="Q43">
        <f>'[3]Base Costs'!$B$13+'[3]Base Costs'!$B$14</f>
        <v>414</v>
      </c>
      <c r="R43" s="239">
        <f>'[3]Base Costs'!$D$2</f>
        <v>1105.3024868650327</v>
      </c>
      <c r="S43" s="254">
        <f t="shared" si="6"/>
        <v>5447.2065100820073</v>
      </c>
    </row>
    <row r="44" spans="1:19" x14ac:dyDescent="0.25">
      <c r="A44" s="248" t="s">
        <v>872</v>
      </c>
      <c r="B44" s="248" t="s">
        <v>917</v>
      </c>
      <c r="C44" s="249">
        <v>134.72447849462364</v>
      </c>
      <c r="D44" s="250">
        <f>C44*'[3]Base Costs'!$B$5</f>
        <v>134.72447849462364</v>
      </c>
      <c r="E44" s="250">
        <f t="shared" si="0"/>
        <v>17</v>
      </c>
      <c r="F44" s="250">
        <f t="shared" si="1"/>
        <v>4</v>
      </c>
      <c r="G44" s="250">
        <f t="shared" si="2"/>
        <v>1</v>
      </c>
      <c r="H44" s="251">
        <f>4*D44*'[3]Base Costs'!$B$7</f>
        <v>26775.681753935485</v>
      </c>
      <c r="I44" s="252">
        <f>4*IF(E44&lt;=3,E44*'[3]Base Costs'!$B$8,IF(F44&lt;=3,F44*'[3]Base Costs'!$B$9,'[3]Base Costs'!$B$10*G44))</f>
        <v>4400</v>
      </c>
      <c r="J44" s="253">
        <f>C44*'[3]Base Costs'!$B$6</f>
        <v>34.220017537634405</v>
      </c>
      <c r="K44" s="250">
        <f t="shared" si="3"/>
        <v>5</v>
      </c>
      <c r="L44" s="250">
        <f t="shared" si="4"/>
        <v>1</v>
      </c>
      <c r="M44" s="250">
        <f t="shared" si="5"/>
        <v>1</v>
      </c>
      <c r="N44" s="251">
        <f>4*J44*'[3]Base Costs'!$B$7</f>
        <v>6801.0231654996132</v>
      </c>
      <c r="O44" s="252">
        <f>4*IF(K44&lt;=3,K44*'[3]Base Costs'!$B$8,IF(L44&lt;=3,L44*'[3]Base Costs'!$B$9,'[3]Base Costs'!$B$10*M44))</f>
        <v>1400</v>
      </c>
      <c r="P44" s="252">
        <f>4*C44*'[3]Base Costs'!$B$11</f>
        <v>26944.895698924727</v>
      </c>
      <c r="Q44">
        <f>'[3]Base Costs'!$B$13+'[3]Base Costs'!$B$14</f>
        <v>414</v>
      </c>
      <c r="R44" s="239">
        <f>'[3]Base Costs'!$D$2</f>
        <v>1105.3024868650327</v>
      </c>
      <c r="S44" s="254">
        <f t="shared" si="6"/>
        <v>9720.3256523646451</v>
      </c>
    </row>
    <row r="45" spans="1:19" x14ac:dyDescent="0.25">
      <c r="A45" s="248" t="s">
        <v>872</v>
      </c>
      <c r="B45" s="248" t="s">
        <v>918</v>
      </c>
      <c r="C45" s="249">
        <v>240.4196005721135</v>
      </c>
      <c r="D45" s="250">
        <f>C45*'[3]Base Costs'!$B$5</f>
        <v>240.4196005721135</v>
      </c>
      <c r="E45" s="250">
        <f t="shared" si="0"/>
        <v>31</v>
      </c>
      <c r="F45" s="250">
        <f t="shared" si="1"/>
        <v>7</v>
      </c>
      <c r="G45" s="250">
        <f t="shared" si="2"/>
        <v>2</v>
      </c>
      <c r="H45" s="251">
        <f>4*D45*'[3]Base Costs'!$B$7</f>
        <v>47781.953096104131</v>
      </c>
      <c r="I45" s="252">
        <f>4*IF(E45&lt;=3,E45*'[3]Base Costs'!$B$8,IF(F45&lt;=3,F45*'[3]Base Costs'!$B$9,'[3]Base Costs'!$B$10*G45))</f>
        <v>8800</v>
      </c>
      <c r="J45" s="253">
        <f>C45*'[3]Base Costs'!$B$6</f>
        <v>61.06657854531683</v>
      </c>
      <c r="K45" s="250">
        <f t="shared" si="3"/>
        <v>8</v>
      </c>
      <c r="L45" s="250">
        <f t="shared" si="4"/>
        <v>2</v>
      </c>
      <c r="M45" s="250">
        <f t="shared" si="5"/>
        <v>1</v>
      </c>
      <c r="N45" s="251">
        <f>4*J45*'[3]Base Costs'!$B$7</f>
        <v>12136.616086410449</v>
      </c>
      <c r="O45" s="252">
        <f>4*IF(K45&lt;=3,K45*'[3]Base Costs'!$B$8,IF(L45&lt;=3,L45*'[3]Base Costs'!$B$9,'[3]Base Costs'!$B$10*M45))</f>
        <v>2800</v>
      </c>
      <c r="P45" s="252">
        <f>4*C45*'[3]Base Costs'!$B$11</f>
        <v>48083.920114422697</v>
      </c>
      <c r="Q45">
        <f>'[3]Base Costs'!$B$13+'[3]Base Costs'!$B$14</f>
        <v>414</v>
      </c>
      <c r="R45" s="239">
        <f>'[3]Base Costs'!$D$2</f>
        <v>1105.3024868650327</v>
      </c>
      <c r="S45" s="254">
        <f t="shared" si="6"/>
        <v>16455.918573275481</v>
      </c>
    </row>
    <row r="46" spans="1:19" x14ac:dyDescent="0.25">
      <c r="A46" s="248" t="s">
        <v>872</v>
      </c>
      <c r="B46" s="248" t="s">
        <v>919</v>
      </c>
      <c r="C46" s="249">
        <v>98.967016970091663</v>
      </c>
      <c r="D46" s="250">
        <f>C46*'[3]Base Costs'!$B$5</f>
        <v>98.967016970091663</v>
      </c>
      <c r="E46" s="250">
        <f t="shared" si="0"/>
        <v>13</v>
      </c>
      <c r="F46" s="250">
        <f t="shared" si="1"/>
        <v>3</v>
      </c>
      <c r="G46" s="250">
        <f t="shared" si="2"/>
        <v>1</v>
      </c>
      <c r="H46" s="251">
        <f>4*D46*'[3]Base Costs'!$B$7</f>
        <v>19669.100820703901</v>
      </c>
      <c r="I46" s="252">
        <f>4*IF(E46&lt;=3,E46*'[3]Base Costs'!$B$8,IF(F46&lt;=3,F46*'[3]Base Costs'!$B$9,'[3]Base Costs'!$B$10*G46))</f>
        <v>4200</v>
      </c>
      <c r="J46" s="253">
        <f>C46*'[3]Base Costs'!$B$6</f>
        <v>25.137622310403284</v>
      </c>
      <c r="K46" s="250">
        <f t="shared" si="3"/>
        <v>4</v>
      </c>
      <c r="L46" s="250">
        <f t="shared" si="4"/>
        <v>1</v>
      </c>
      <c r="M46" s="250">
        <f t="shared" si="5"/>
        <v>1</v>
      </c>
      <c r="N46" s="251">
        <f>4*J46*'[3]Base Costs'!$B$7</f>
        <v>4995.9516084587913</v>
      </c>
      <c r="O46" s="252">
        <f>4*IF(K46&lt;=3,K46*'[3]Base Costs'!$B$8,IF(L46&lt;=3,L46*'[3]Base Costs'!$B$9,'[3]Base Costs'!$B$10*M46))</f>
        <v>1400</v>
      </c>
      <c r="P46" s="252">
        <f>4*C46*'[3]Base Costs'!$B$11</f>
        <v>19793.403394018333</v>
      </c>
      <c r="Q46">
        <f>'[3]Base Costs'!$B$13+'[3]Base Costs'!$B$14</f>
        <v>414</v>
      </c>
      <c r="R46" s="239">
        <f>'[3]Base Costs'!$D$2</f>
        <v>1105.3024868650327</v>
      </c>
      <c r="S46" s="254">
        <f t="shared" si="6"/>
        <v>7915.254095323824</v>
      </c>
    </row>
    <row r="47" spans="1:19" x14ac:dyDescent="0.25">
      <c r="A47" s="248" t="s">
        <v>872</v>
      </c>
      <c r="B47" s="248" t="s">
        <v>920</v>
      </c>
      <c r="C47" s="249">
        <v>164.91928725109986</v>
      </c>
      <c r="D47" s="250">
        <f>C47*'[3]Base Costs'!$B$5</f>
        <v>164.91928725109986</v>
      </c>
      <c r="E47" s="250">
        <f t="shared" si="0"/>
        <v>21</v>
      </c>
      <c r="F47" s="250">
        <f t="shared" si="1"/>
        <v>5</v>
      </c>
      <c r="G47" s="250">
        <f t="shared" si="2"/>
        <v>2</v>
      </c>
      <c r="H47" s="251">
        <f>4*D47*'[3]Base Costs'!$B$7</f>
        <v>32776.718825432596</v>
      </c>
      <c r="I47" s="252">
        <f>4*IF(E47&lt;=3,E47*'[3]Base Costs'!$B$8,IF(F47&lt;=3,F47*'[3]Base Costs'!$B$9,'[3]Base Costs'!$B$10*G47))</f>
        <v>8800</v>
      </c>
      <c r="J47" s="253">
        <f>C47*'[3]Base Costs'!$B$6</f>
        <v>41.889498961779367</v>
      </c>
      <c r="K47" s="250">
        <f t="shared" si="3"/>
        <v>6</v>
      </c>
      <c r="L47" s="250">
        <f t="shared" si="4"/>
        <v>2</v>
      </c>
      <c r="M47" s="250">
        <f t="shared" si="5"/>
        <v>1</v>
      </c>
      <c r="N47" s="251">
        <f>4*J47*'[3]Base Costs'!$B$7</f>
        <v>8325.2865816598805</v>
      </c>
      <c r="O47" s="252">
        <f>4*IF(K47&lt;=3,K47*'[3]Base Costs'!$B$8,IF(L47&lt;=3,L47*'[3]Base Costs'!$B$9,'[3]Base Costs'!$B$10*M47))</f>
        <v>2800</v>
      </c>
      <c r="P47" s="252">
        <f>4*C47*'[3]Base Costs'!$B$11</f>
        <v>32983.85745021997</v>
      </c>
      <c r="Q47">
        <f>'[3]Base Costs'!$B$13+'[3]Base Costs'!$B$14</f>
        <v>414</v>
      </c>
      <c r="R47" s="239">
        <f>'[3]Base Costs'!$D$2</f>
        <v>1105.3024868650327</v>
      </c>
      <c r="S47" s="254">
        <f t="shared" si="6"/>
        <v>12644.589068524914</v>
      </c>
    </row>
    <row r="48" spans="1:19" x14ac:dyDescent="0.25">
      <c r="A48" s="248" t="s">
        <v>872</v>
      </c>
      <c r="B48" s="248" t="s">
        <v>921</v>
      </c>
      <c r="C48" s="249">
        <v>83.256593440000003</v>
      </c>
      <c r="D48" s="250">
        <f>C48*'[3]Base Costs'!$B$5</f>
        <v>83.256593440000003</v>
      </c>
      <c r="E48" s="250">
        <f t="shared" si="0"/>
        <v>11</v>
      </c>
      <c r="F48" s="250">
        <f t="shared" si="1"/>
        <v>3</v>
      </c>
      <c r="G48" s="250">
        <f t="shared" si="2"/>
        <v>1</v>
      </c>
      <c r="H48" s="251">
        <f>4*D48*'[3]Base Costs'!$B$7</f>
        <v>16546.748406639363</v>
      </c>
      <c r="I48" s="252">
        <f>4*IF(E48&lt;=3,E48*'[3]Base Costs'!$B$8,IF(F48&lt;=3,F48*'[3]Base Costs'!$B$9,'[3]Base Costs'!$B$10*G48))</f>
        <v>4200</v>
      </c>
      <c r="J48" s="253">
        <f>C48*'[3]Base Costs'!$B$6</f>
        <v>21.14717473376</v>
      </c>
      <c r="K48" s="250">
        <f t="shared" si="3"/>
        <v>3</v>
      </c>
      <c r="L48" s="250">
        <f t="shared" si="4"/>
        <v>1</v>
      </c>
      <c r="M48" s="250">
        <f t="shared" si="5"/>
        <v>1</v>
      </c>
      <c r="N48" s="251">
        <f>4*J48*'[3]Base Costs'!$B$7</f>
        <v>4202.8740952863982</v>
      </c>
      <c r="O48" s="252">
        <f>4*IF(K48&lt;=3,K48*'[3]Base Costs'!$B$8,IF(L48&lt;=3,L48*'[3]Base Costs'!$B$9,'[3]Base Costs'!$B$10*M48))</f>
        <v>1500</v>
      </c>
      <c r="P48" s="252">
        <f>4*C48*'[3]Base Costs'!$B$11</f>
        <v>16651.318687999999</v>
      </c>
      <c r="Q48">
        <f>'[3]Base Costs'!$B$13+'[3]Base Costs'!$B$14</f>
        <v>414</v>
      </c>
      <c r="R48" s="239">
        <f>'[3]Base Costs'!$D$2</f>
        <v>1105.3024868650327</v>
      </c>
      <c r="S48" s="254">
        <f t="shared" si="6"/>
        <v>7222.1765821514309</v>
      </c>
    </row>
    <row r="49" spans="1:19" x14ac:dyDescent="0.25">
      <c r="A49" s="248" t="s">
        <v>872</v>
      </c>
      <c r="B49" s="248" t="s">
        <v>922</v>
      </c>
      <c r="C49" s="249">
        <v>164.49962688673529</v>
      </c>
      <c r="D49" s="250">
        <f>C49*'[3]Base Costs'!$B$5</f>
        <v>164.49962688673529</v>
      </c>
      <c r="E49" s="250">
        <f t="shared" si="0"/>
        <v>21</v>
      </c>
      <c r="F49" s="250">
        <f t="shared" si="1"/>
        <v>5</v>
      </c>
      <c r="G49" s="250">
        <f t="shared" si="2"/>
        <v>2</v>
      </c>
      <c r="H49" s="251">
        <f>4*D49*'[3]Base Costs'!$B$7</f>
        <v>32693.313845977322</v>
      </c>
      <c r="I49" s="252">
        <f>4*IF(E49&lt;=3,E49*'[3]Base Costs'!$B$8,IF(F49&lt;=3,F49*'[3]Base Costs'!$B$9,'[3]Base Costs'!$B$10*G49))</f>
        <v>8800</v>
      </c>
      <c r="J49" s="253">
        <f>C49*'[3]Base Costs'!$B$6</f>
        <v>41.782905229230764</v>
      </c>
      <c r="K49" s="250">
        <f t="shared" si="3"/>
        <v>6</v>
      </c>
      <c r="L49" s="250">
        <f t="shared" si="4"/>
        <v>2</v>
      </c>
      <c r="M49" s="250">
        <f t="shared" si="5"/>
        <v>1</v>
      </c>
      <c r="N49" s="251">
        <f>4*J49*'[3]Base Costs'!$B$7</f>
        <v>8304.10171687824</v>
      </c>
      <c r="O49" s="252">
        <f>4*IF(K49&lt;=3,K49*'[3]Base Costs'!$B$8,IF(L49&lt;=3,L49*'[3]Base Costs'!$B$9,'[3]Base Costs'!$B$10*M49))</f>
        <v>2800</v>
      </c>
      <c r="P49" s="252">
        <f>4*C49*'[3]Base Costs'!$B$11</f>
        <v>32899.925377347055</v>
      </c>
      <c r="Q49">
        <f>'[3]Base Costs'!$B$13+'[3]Base Costs'!$B$14</f>
        <v>414</v>
      </c>
      <c r="R49" s="239">
        <f>'[3]Base Costs'!$D$2</f>
        <v>1105.3024868650327</v>
      </c>
      <c r="S49" s="254">
        <f t="shared" si="6"/>
        <v>12623.404203743274</v>
      </c>
    </row>
    <row r="50" spans="1:19" x14ac:dyDescent="0.25">
      <c r="A50" s="248" t="s">
        <v>872</v>
      </c>
      <c r="B50" s="248" t="s">
        <v>923</v>
      </c>
      <c r="C50" s="249">
        <v>48.552871939987305</v>
      </c>
      <c r="D50" s="250">
        <f>C50*'[3]Base Costs'!$B$5</f>
        <v>48.552871939987305</v>
      </c>
      <c r="E50" s="250">
        <f t="shared" si="0"/>
        <v>7</v>
      </c>
      <c r="F50" s="250">
        <f t="shared" si="1"/>
        <v>2</v>
      </c>
      <c r="G50" s="250">
        <f t="shared" si="2"/>
        <v>1</v>
      </c>
      <c r="H50" s="251">
        <f>4*D50*'[3]Base Costs'!$B$7</f>
        <v>9649.591980840838</v>
      </c>
      <c r="I50" s="252">
        <f>4*IF(E50&lt;=3,E50*'[3]Base Costs'!$B$8,IF(F50&lt;=3,F50*'[3]Base Costs'!$B$9,'[3]Base Costs'!$B$10*G50))</f>
        <v>2800</v>
      </c>
      <c r="J50" s="253">
        <f>C50*'[3]Base Costs'!$B$6</f>
        <v>12.332429472756775</v>
      </c>
      <c r="K50" s="250">
        <f t="shared" si="3"/>
        <v>2</v>
      </c>
      <c r="L50" s="250">
        <f t="shared" si="4"/>
        <v>1</v>
      </c>
      <c r="M50" s="250">
        <f t="shared" si="5"/>
        <v>1</v>
      </c>
      <c r="N50" s="251">
        <f>4*J50*'[3]Base Costs'!$B$7</f>
        <v>2450.9963631335727</v>
      </c>
      <c r="O50" s="252">
        <f>4*IF(K50&lt;=3,K50*'[3]Base Costs'!$B$8,IF(L50&lt;=3,L50*'[3]Base Costs'!$B$9,'[3]Base Costs'!$B$10*M50))</f>
        <v>1000</v>
      </c>
      <c r="P50" s="252">
        <f>4*C50*'[3]Base Costs'!$B$11</f>
        <v>9710.5743879974616</v>
      </c>
      <c r="Q50">
        <f>'[3]Base Costs'!$B$13+'[3]Base Costs'!$B$14</f>
        <v>414</v>
      </c>
      <c r="R50" s="239">
        <f>'[3]Base Costs'!$D$2</f>
        <v>1105.3024868650327</v>
      </c>
      <c r="S50" s="254">
        <f t="shared" si="6"/>
        <v>4970.2988499986059</v>
      </c>
    </row>
    <row r="51" spans="1:19" x14ac:dyDescent="0.25">
      <c r="A51" s="248" t="s">
        <v>872</v>
      </c>
      <c r="B51" s="248" t="s">
        <v>924</v>
      </c>
      <c r="C51" s="249">
        <v>407.12826456591426</v>
      </c>
      <c r="D51" s="250">
        <f>C51*'[3]Base Costs'!$B$5</f>
        <v>407.12826456591426</v>
      </c>
      <c r="E51" s="250">
        <f t="shared" si="0"/>
        <v>51</v>
      </c>
      <c r="F51" s="250">
        <f t="shared" si="1"/>
        <v>11</v>
      </c>
      <c r="G51" s="250">
        <f t="shared" si="2"/>
        <v>3</v>
      </c>
      <c r="H51" s="251">
        <f>4*D51*'[3]Base Costs'!$B$7</f>
        <v>80914.299812888072</v>
      </c>
      <c r="I51" s="252">
        <f>4*IF(E51&lt;=3,E51*'[3]Base Costs'!$B$8,IF(F51&lt;=3,F51*'[3]Base Costs'!$B$9,'[3]Base Costs'!$B$10*G51))</f>
        <v>13200</v>
      </c>
      <c r="J51" s="253">
        <f>C51*'[3]Base Costs'!$B$6</f>
        <v>103.41057919974223</v>
      </c>
      <c r="K51" s="250">
        <f t="shared" si="3"/>
        <v>13</v>
      </c>
      <c r="L51" s="250">
        <f t="shared" si="4"/>
        <v>3</v>
      </c>
      <c r="M51" s="250">
        <f t="shared" si="5"/>
        <v>1</v>
      </c>
      <c r="N51" s="251">
        <f>4*J51*'[3]Base Costs'!$B$7</f>
        <v>20552.232152473574</v>
      </c>
      <c r="O51" s="252">
        <f>4*IF(K51&lt;=3,K51*'[3]Base Costs'!$B$8,IF(L51&lt;=3,L51*'[3]Base Costs'!$B$9,'[3]Base Costs'!$B$10*M51))</f>
        <v>4200</v>
      </c>
      <c r="P51" s="252">
        <f>4*C51*'[3]Base Costs'!$B$11</f>
        <v>81425.652913182857</v>
      </c>
      <c r="Q51">
        <f>'[3]Base Costs'!$B$13+'[3]Base Costs'!$B$14</f>
        <v>414</v>
      </c>
      <c r="R51" s="239">
        <f>'[3]Base Costs'!$D$2</f>
        <v>1105.3024868650327</v>
      </c>
      <c r="S51" s="254">
        <f t="shared" si="6"/>
        <v>26271.534639338606</v>
      </c>
    </row>
    <row r="52" spans="1:19" x14ac:dyDescent="0.25">
      <c r="A52" s="248" t="s">
        <v>872</v>
      </c>
      <c r="B52" s="248" t="s">
        <v>925</v>
      </c>
      <c r="C52" s="249">
        <v>181.12060026521237</v>
      </c>
      <c r="D52" s="250">
        <f>C52*'[3]Base Costs'!$B$5</f>
        <v>181.12060026521237</v>
      </c>
      <c r="E52" s="250">
        <f t="shared" si="0"/>
        <v>23</v>
      </c>
      <c r="F52" s="250">
        <f t="shared" si="1"/>
        <v>5</v>
      </c>
      <c r="G52" s="250">
        <f t="shared" si="2"/>
        <v>2</v>
      </c>
      <c r="H52" s="251">
        <f>4*D52*'[3]Base Costs'!$B$7</f>
        <v>35996.632579109377</v>
      </c>
      <c r="I52" s="252">
        <f>4*IF(E52&lt;=3,E52*'[3]Base Costs'!$B$8,IF(F52&lt;=3,F52*'[3]Base Costs'!$B$9,'[3]Base Costs'!$B$10*G52))</f>
        <v>8800</v>
      </c>
      <c r="J52" s="253">
        <f>C52*'[3]Base Costs'!$B$6</f>
        <v>46.00463246736394</v>
      </c>
      <c r="K52" s="250">
        <f t="shared" si="3"/>
        <v>6</v>
      </c>
      <c r="L52" s="250">
        <f t="shared" si="4"/>
        <v>2</v>
      </c>
      <c r="M52" s="250">
        <f t="shared" si="5"/>
        <v>1</v>
      </c>
      <c r="N52" s="251">
        <f>4*J52*'[3]Base Costs'!$B$7</f>
        <v>9143.1446750937794</v>
      </c>
      <c r="O52" s="252">
        <f>4*IF(K52&lt;=3,K52*'[3]Base Costs'!$B$8,IF(L52&lt;=3,L52*'[3]Base Costs'!$B$9,'[3]Base Costs'!$B$10*M52))</f>
        <v>2800</v>
      </c>
      <c r="P52" s="252">
        <f>4*C52*'[3]Base Costs'!$B$11</f>
        <v>36224.120053042476</v>
      </c>
      <c r="Q52">
        <f>'[3]Base Costs'!$B$13+'[3]Base Costs'!$B$14</f>
        <v>414</v>
      </c>
      <c r="R52" s="239">
        <f>'[3]Base Costs'!$D$2</f>
        <v>1105.3024868650327</v>
      </c>
      <c r="S52" s="254">
        <f t="shared" si="6"/>
        <v>13462.447161958811</v>
      </c>
    </row>
    <row r="53" spans="1:19" x14ac:dyDescent="0.25">
      <c r="A53" s="248" t="s">
        <v>872</v>
      </c>
      <c r="B53" s="248" t="s">
        <v>926</v>
      </c>
      <c r="C53" s="249">
        <v>42.999976575000005</v>
      </c>
      <c r="D53" s="250">
        <f>C53*'[3]Base Costs'!$B$5</f>
        <v>42.999976575000005</v>
      </c>
      <c r="E53" s="250">
        <f t="shared" si="0"/>
        <v>6</v>
      </c>
      <c r="F53" s="250">
        <f t="shared" si="1"/>
        <v>2</v>
      </c>
      <c r="G53" s="250">
        <f t="shared" si="2"/>
        <v>1</v>
      </c>
      <c r="H53" s="251">
        <f>4*D53*'[3]Base Costs'!$B$7</f>
        <v>8545.9873444218028</v>
      </c>
      <c r="I53" s="252">
        <f>4*IF(E53&lt;=3,E53*'[3]Base Costs'!$B$8,IF(F53&lt;=3,F53*'[3]Base Costs'!$B$9,'[3]Base Costs'!$B$10*G53))</f>
        <v>2800</v>
      </c>
      <c r="J53" s="253">
        <f>C53*'[3]Base Costs'!$B$6</f>
        <v>10.921994050050001</v>
      </c>
      <c r="K53" s="250">
        <f t="shared" si="3"/>
        <v>2</v>
      </c>
      <c r="L53" s="250">
        <f t="shared" si="4"/>
        <v>1</v>
      </c>
      <c r="M53" s="250">
        <f t="shared" si="5"/>
        <v>1</v>
      </c>
      <c r="N53" s="251">
        <f>4*J53*'[3]Base Costs'!$B$7</f>
        <v>2170.6807854831377</v>
      </c>
      <c r="O53" s="252">
        <f>4*IF(K53&lt;=3,K53*'[3]Base Costs'!$B$8,IF(L53&lt;=3,L53*'[3]Base Costs'!$B$9,'[3]Base Costs'!$B$10*M53))</f>
        <v>1000</v>
      </c>
      <c r="P53" s="252">
        <f>4*C53*'[3]Base Costs'!$B$11</f>
        <v>8599.9953150000001</v>
      </c>
      <c r="Q53">
        <f>'[3]Base Costs'!$B$13+'[3]Base Costs'!$B$14</f>
        <v>414</v>
      </c>
      <c r="R53" s="239">
        <f>'[3]Base Costs'!$D$2</f>
        <v>1105.3024868650327</v>
      </c>
      <c r="S53" s="254">
        <f t="shared" si="6"/>
        <v>4689.9832723481704</v>
      </c>
    </row>
    <row r="54" spans="1:19" x14ac:dyDescent="0.25">
      <c r="A54" s="248" t="s">
        <v>872</v>
      </c>
      <c r="B54" s="248" t="s">
        <v>927</v>
      </c>
      <c r="C54" s="249">
        <v>94.400781835000004</v>
      </c>
      <c r="D54" s="250">
        <f>C54*'[3]Base Costs'!$B$5</f>
        <v>94.400781835000004</v>
      </c>
      <c r="E54" s="250">
        <f t="shared" si="0"/>
        <v>12</v>
      </c>
      <c r="F54" s="250">
        <f t="shared" si="1"/>
        <v>3</v>
      </c>
      <c r="G54" s="250">
        <f t="shared" si="2"/>
        <v>1</v>
      </c>
      <c r="H54" s="251">
        <f>4*D54*'[3]Base Costs'!$B$7</f>
        <v>18761.588985015242</v>
      </c>
      <c r="I54" s="252">
        <f>4*IF(E54&lt;=3,E54*'[3]Base Costs'!$B$8,IF(F54&lt;=3,F54*'[3]Base Costs'!$B$9,'[3]Base Costs'!$B$10*G54))</f>
        <v>4200</v>
      </c>
      <c r="J54" s="253">
        <f>C54*'[3]Base Costs'!$B$6</f>
        <v>23.97779858609</v>
      </c>
      <c r="K54" s="250">
        <f t="shared" si="3"/>
        <v>3</v>
      </c>
      <c r="L54" s="250">
        <f t="shared" si="4"/>
        <v>1</v>
      </c>
      <c r="M54" s="250">
        <f t="shared" si="5"/>
        <v>1</v>
      </c>
      <c r="N54" s="251">
        <f>4*J54*'[3]Base Costs'!$B$7</f>
        <v>4765.4436021938718</v>
      </c>
      <c r="O54" s="252">
        <f>4*IF(K54&lt;=3,K54*'[3]Base Costs'!$B$8,IF(L54&lt;=3,L54*'[3]Base Costs'!$B$9,'[3]Base Costs'!$B$10*M54))</f>
        <v>1500</v>
      </c>
      <c r="P54" s="252">
        <f>4*C54*'[3]Base Costs'!$B$11</f>
        <v>18880.156367</v>
      </c>
      <c r="Q54">
        <f>'[3]Base Costs'!$B$13+'[3]Base Costs'!$B$14</f>
        <v>414</v>
      </c>
      <c r="R54" s="239">
        <f>'[3]Base Costs'!$D$2</f>
        <v>1105.3024868650327</v>
      </c>
      <c r="S54" s="254">
        <f t="shared" si="6"/>
        <v>7784.7460890589045</v>
      </c>
    </row>
    <row r="55" spans="1:19" x14ac:dyDescent="0.25">
      <c r="A55" s="248" t="s">
        <v>872</v>
      </c>
      <c r="B55" s="248" t="s">
        <v>928</v>
      </c>
      <c r="C55" s="249">
        <v>173.58868725658795</v>
      </c>
      <c r="D55" s="250">
        <f>C55*'[3]Base Costs'!$B$5</f>
        <v>173.58868725658795</v>
      </c>
      <c r="E55" s="250">
        <f t="shared" si="0"/>
        <v>22</v>
      </c>
      <c r="F55" s="250">
        <f t="shared" si="1"/>
        <v>5</v>
      </c>
      <c r="G55" s="250">
        <f t="shared" si="2"/>
        <v>2</v>
      </c>
      <c r="H55" s="251">
        <f>4*D55*'[3]Base Costs'!$B$7</f>
        <v>34499.710060123318</v>
      </c>
      <c r="I55" s="252">
        <f>4*IF(E55&lt;=3,E55*'[3]Base Costs'!$B$8,IF(F55&lt;=3,F55*'[3]Base Costs'!$B$9,'[3]Base Costs'!$B$10*G55))</f>
        <v>8800</v>
      </c>
      <c r="J55" s="253">
        <f>C55*'[3]Base Costs'!$B$6</f>
        <v>44.091526563173339</v>
      </c>
      <c r="K55" s="250">
        <f t="shared" si="3"/>
        <v>6</v>
      </c>
      <c r="L55" s="250">
        <f t="shared" si="4"/>
        <v>2</v>
      </c>
      <c r="M55" s="250">
        <f t="shared" si="5"/>
        <v>1</v>
      </c>
      <c r="N55" s="251">
        <f>4*J55*'[3]Base Costs'!$B$7</f>
        <v>8762.9263552713237</v>
      </c>
      <c r="O55" s="252">
        <f>4*IF(K55&lt;=3,K55*'[3]Base Costs'!$B$8,IF(L55&lt;=3,L55*'[3]Base Costs'!$B$9,'[3]Base Costs'!$B$10*M55))</f>
        <v>2800</v>
      </c>
      <c r="P55" s="252">
        <f>4*C55*'[3]Base Costs'!$B$11</f>
        <v>34717.737451317589</v>
      </c>
      <c r="Q55">
        <f>'[3]Base Costs'!$B$13+'[3]Base Costs'!$B$14</f>
        <v>414</v>
      </c>
      <c r="R55" s="239">
        <f>'[3]Base Costs'!$D$2</f>
        <v>1105.3024868650327</v>
      </c>
      <c r="S55" s="254">
        <f t="shared" si="6"/>
        <v>13082.228842136356</v>
      </c>
    </row>
    <row r="56" spans="1:19" x14ac:dyDescent="0.25">
      <c r="A56" s="248" t="s">
        <v>872</v>
      </c>
      <c r="B56" s="248" t="s">
        <v>929</v>
      </c>
      <c r="C56" s="249">
        <v>67.099633015000009</v>
      </c>
      <c r="D56" s="250">
        <f>C56*'[3]Base Costs'!$B$5</f>
        <v>67.099633015000009</v>
      </c>
      <c r="E56" s="250">
        <f t="shared" si="0"/>
        <v>9</v>
      </c>
      <c r="F56" s="250">
        <f t="shared" si="1"/>
        <v>2</v>
      </c>
      <c r="G56" s="250">
        <f t="shared" si="2"/>
        <v>1</v>
      </c>
      <c r="H56" s="251">
        <f>4*D56*'[3]Base Costs'!$B$7</f>
        <v>13335.649463933163</v>
      </c>
      <c r="I56" s="252">
        <f>4*IF(E56&lt;=3,E56*'[3]Base Costs'!$B$8,IF(F56&lt;=3,F56*'[3]Base Costs'!$B$9,'[3]Base Costs'!$B$10*G56))</f>
        <v>2800</v>
      </c>
      <c r="J56" s="253">
        <f>C56*'[3]Base Costs'!$B$6</f>
        <v>17.043306785810003</v>
      </c>
      <c r="K56" s="250">
        <f t="shared" si="3"/>
        <v>3</v>
      </c>
      <c r="L56" s="250">
        <f t="shared" si="4"/>
        <v>1</v>
      </c>
      <c r="M56" s="250">
        <f t="shared" si="5"/>
        <v>1</v>
      </c>
      <c r="N56" s="251">
        <f>4*J56*'[3]Base Costs'!$B$7</f>
        <v>3387.2549638390237</v>
      </c>
      <c r="O56" s="252">
        <f>4*IF(K56&lt;=3,K56*'[3]Base Costs'!$B$8,IF(L56&lt;=3,L56*'[3]Base Costs'!$B$9,'[3]Base Costs'!$B$10*M56))</f>
        <v>1500</v>
      </c>
      <c r="P56" s="252">
        <f>4*C56*'[3]Base Costs'!$B$11</f>
        <v>13419.926603000002</v>
      </c>
      <c r="Q56">
        <f>'[3]Base Costs'!$B$13+'[3]Base Costs'!$B$14</f>
        <v>414</v>
      </c>
      <c r="R56" s="239">
        <f>'[3]Base Costs'!$D$2</f>
        <v>1105.3024868650327</v>
      </c>
      <c r="S56" s="254">
        <f t="shared" si="6"/>
        <v>6406.5574507040565</v>
      </c>
    </row>
    <row r="57" spans="1:19" x14ac:dyDescent="0.25">
      <c r="A57" s="248" t="s">
        <v>872</v>
      </c>
      <c r="B57" s="248" t="s">
        <v>930</v>
      </c>
      <c r="C57" s="249">
        <v>178.90154895000001</v>
      </c>
      <c r="D57" s="250">
        <f>C57*'[3]Base Costs'!$B$5</f>
        <v>178.90154895000001</v>
      </c>
      <c r="E57" s="250">
        <f t="shared" si="0"/>
        <v>23</v>
      </c>
      <c r="F57" s="250">
        <f t="shared" si="1"/>
        <v>5</v>
      </c>
      <c r="G57" s="250">
        <f t="shared" si="2"/>
        <v>2</v>
      </c>
      <c r="H57" s="251">
        <f>4*D57*'[3]Base Costs'!$B$7</f>
        <v>35555.609444518806</v>
      </c>
      <c r="I57" s="252">
        <f>4*IF(E57&lt;=3,E57*'[3]Base Costs'!$B$8,IF(F57&lt;=3,F57*'[3]Base Costs'!$B$9,'[3]Base Costs'!$B$10*G57))</f>
        <v>8800</v>
      </c>
      <c r="J57" s="253">
        <f>C57*'[3]Base Costs'!$B$6</f>
        <v>45.440993433300001</v>
      </c>
      <c r="K57" s="250">
        <f t="shared" si="3"/>
        <v>6</v>
      </c>
      <c r="L57" s="250">
        <f t="shared" si="4"/>
        <v>2</v>
      </c>
      <c r="M57" s="250">
        <f t="shared" si="5"/>
        <v>1</v>
      </c>
      <c r="N57" s="251">
        <f>4*J57*'[3]Base Costs'!$B$7</f>
        <v>9031.1247989077765</v>
      </c>
      <c r="O57" s="252">
        <f>4*IF(K57&lt;=3,K57*'[3]Base Costs'!$B$8,IF(L57&lt;=3,L57*'[3]Base Costs'!$B$9,'[3]Base Costs'!$B$10*M57))</f>
        <v>2800</v>
      </c>
      <c r="P57" s="252">
        <f>4*C57*'[3]Base Costs'!$B$11</f>
        <v>35780.309789999999</v>
      </c>
      <c r="Q57">
        <f>'[3]Base Costs'!$B$13+'[3]Base Costs'!$B$14</f>
        <v>414</v>
      </c>
      <c r="R57" s="239">
        <f>'[3]Base Costs'!$D$2</f>
        <v>1105.3024868650327</v>
      </c>
      <c r="S57" s="254">
        <f t="shared" si="6"/>
        <v>13350.42728577281</v>
      </c>
    </row>
    <row r="58" spans="1:19" x14ac:dyDescent="0.25">
      <c r="A58" s="248" t="s">
        <v>872</v>
      </c>
      <c r="B58" s="248" t="s">
        <v>931</v>
      </c>
      <c r="C58" s="249">
        <v>158.87435341789035</v>
      </c>
      <c r="D58" s="250">
        <f>C58*'[3]Base Costs'!$B$5</f>
        <v>158.87435341789035</v>
      </c>
      <c r="E58" s="250">
        <f t="shared" si="0"/>
        <v>20</v>
      </c>
      <c r="F58" s="250">
        <f t="shared" si="1"/>
        <v>4</v>
      </c>
      <c r="G58" s="250">
        <f t="shared" si="2"/>
        <v>1</v>
      </c>
      <c r="H58" s="251">
        <f>4*D58*'[3]Base Costs'!$B$7</f>
        <v>31575.324495685203</v>
      </c>
      <c r="I58" s="252">
        <f>4*IF(E58&lt;=3,E58*'[3]Base Costs'!$B$8,IF(F58&lt;=3,F58*'[3]Base Costs'!$B$9,'[3]Base Costs'!$B$10*G58))</f>
        <v>4400</v>
      </c>
      <c r="J58" s="253">
        <f>C58*'[3]Base Costs'!$B$6</f>
        <v>40.354085768144152</v>
      </c>
      <c r="K58" s="250">
        <f t="shared" si="3"/>
        <v>6</v>
      </c>
      <c r="L58" s="250">
        <f t="shared" si="4"/>
        <v>2</v>
      </c>
      <c r="M58" s="250">
        <f t="shared" si="5"/>
        <v>1</v>
      </c>
      <c r="N58" s="251">
        <f>4*J58*'[3]Base Costs'!$B$7</f>
        <v>8020.1324219040425</v>
      </c>
      <c r="O58" s="252">
        <f>4*IF(K58&lt;=3,K58*'[3]Base Costs'!$B$8,IF(L58&lt;=3,L58*'[3]Base Costs'!$B$9,'[3]Base Costs'!$B$10*M58))</f>
        <v>2800</v>
      </c>
      <c r="P58" s="252">
        <f>4*C58*'[3]Base Costs'!$B$11</f>
        <v>31774.870683578069</v>
      </c>
      <c r="Q58">
        <f>'[3]Base Costs'!$B$13+'[3]Base Costs'!$B$14</f>
        <v>414</v>
      </c>
      <c r="R58" s="239">
        <f>'[3]Base Costs'!$D$2</f>
        <v>1105.3024868650327</v>
      </c>
      <c r="S58" s="254">
        <f t="shared" si="6"/>
        <v>12339.434908769075</v>
      </c>
    </row>
    <row r="59" spans="1:19" x14ac:dyDescent="0.25">
      <c r="A59" s="248" t="s">
        <v>872</v>
      </c>
      <c r="B59" s="248" t="s">
        <v>932</v>
      </c>
      <c r="C59" s="249">
        <v>40.5625</v>
      </c>
      <c r="D59" s="250">
        <f>C59*'[3]Base Costs'!$B$5</f>
        <v>40.5625</v>
      </c>
      <c r="E59" s="250">
        <f t="shared" si="0"/>
        <v>6</v>
      </c>
      <c r="F59" s="250">
        <f t="shared" si="1"/>
        <v>2</v>
      </c>
      <c r="G59" s="250">
        <f t="shared" si="2"/>
        <v>1</v>
      </c>
      <c r="H59" s="251">
        <f>4*D59*'[3]Base Costs'!$B$7</f>
        <v>8061.5535000000009</v>
      </c>
      <c r="I59" s="252">
        <f>4*IF(E59&lt;=3,E59*'[3]Base Costs'!$B$8,IF(F59&lt;=3,F59*'[3]Base Costs'!$B$9,'[3]Base Costs'!$B$10*G59))</f>
        <v>2800</v>
      </c>
      <c r="J59" s="253">
        <f>C59*'[3]Base Costs'!$B$6</f>
        <v>10.302875</v>
      </c>
      <c r="K59" s="250">
        <f t="shared" si="3"/>
        <v>2</v>
      </c>
      <c r="L59" s="250">
        <f t="shared" si="4"/>
        <v>1</v>
      </c>
      <c r="M59" s="250">
        <f t="shared" si="5"/>
        <v>1</v>
      </c>
      <c r="N59" s="251">
        <f>4*J59*'[3]Base Costs'!$B$7</f>
        <v>2047.6345890000002</v>
      </c>
      <c r="O59" s="252">
        <f>4*IF(K59&lt;=3,K59*'[3]Base Costs'!$B$8,IF(L59&lt;=3,L59*'[3]Base Costs'!$B$9,'[3]Base Costs'!$B$10*M59))</f>
        <v>1000</v>
      </c>
      <c r="P59" s="252">
        <f>4*C59*'[3]Base Costs'!$B$11</f>
        <v>8112.5</v>
      </c>
      <c r="Q59">
        <f>'[3]Base Costs'!$B$13+'[3]Base Costs'!$B$14</f>
        <v>414</v>
      </c>
      <c r="R59" s="239">
        <f>'[3]Base Costs'!$D$2</f>
        <v>1105.3024868650327</v>
      </c>
      <c r="S59" s="254">
        <f t="shared" si="6"/>
        <v>4566.937075865033</v>
      </c>
    </row>
    <row r="60" spans="1:19" x14ac:dyDescent="0.25">
      <c r="A60" s="248" t="s">
        <v>872</v>
      </c>
      <c r="B60" s="248" t="s">
        <v>933</v>
      </c>
      <c r="C60" s="249">
        <v>97.77761715318502</v>
      </c>
      <c r="D60" s="250">
        <f>C60*'[3]Base Costs'!$B$5</f>
        <v>97.77761715318502</v>
      </c>
      <c r="E60" s="250">
        <f t="shared" si="0"/>
        <v>13</v>
      </c>
      <c r="F60" s="250">
        <f t="shared" si="1"/>
        <v>3</v>
      </c>
      <c r="G60" s="250">
        <f t="shared" si="2"/>
        <v>1</v>
      </c>
      <c r="H60" s="251">
        <f>4*D60*'[3]Base Costs'!$B$7</f>
        <v>19432.714743492605</v>
      </c>
      <c r="I60" s="252">
        <f>4*IF(E60&lt;=3,E60*'[3]Base Costs'!$B$8,IF(F60&lt;=3,F60*'[3]Base Costs'!$B$9,'[3]Base Costs'!$B$10*G60))</f>
        <v>4200</v>
      </c>
      <c r="J60" s="253">
        <f>C60*'[3]Base Costs'!$B$6</f>
        <v>24.835514756908996</v>
      </c>
      <c r="K60" s="250">
        <f t="shared" si="3"/>
        <v>4</v>
      </c>
      <c r="L60" s="250">
        <f t="shared" si="4"/>
        <v>1</v>
      </c>
      <c r="M60" s="250">
        <f t="shared" si="5"/>
        <v>1</v>
      </c>
      <c r="N60" s="251">
        <f>4*J60*'[3]Base Costs'!$B$7</f>
        <v>4935.9095448471226</v>
      </c>
      <c r="O60" s="252">
        <f>4*IF(K60&lt;=3,K60*'[3]Base Costs'!$B$8,IF(L60&lt;=3,L60*'[3]Base Costs'!$B$9,'[3]Base Costs'!$B$10*M60))</f>
        <v>1400</v>
      </c>
      <c r="P60" s="252">
        <f>4*C60*'[3]Base Costs'!$B$11</f>
        <v>19555.523430637004</v>
      </c>
      <c r="Q60">
        <f>'[3]Base Costs'!$B$13+'[3]Base Costs'!$B$14</f>
        <v>414</v>
      </c>
      <c r="R60" s="239">
        <f>'[3]Base Costs'!$D$2</f>
        <v>1105.3024868650327</v>
      </c>
      <c r="S60" s="254">
        <f t="shared" si="6"/>
        <v>7855.2120317121553</v>
      </c>
    </row>
    <row r="61" spans="1:19" x14ac:dyDescent="0.25">
      <c r="A61" s="248" t="s">
        <v>872</v>
      </c>
      <c r="B61" s="248" t="s">
        <v>934</v>
      </c>
      <c r="C61" s="249">
        <v>83.467340584756087</v>
      </c>
      <c r="D61" s="250">
        <f>C61*'[3]Base Costs'!$B$5</f>
        <v>83.467340584756087</v>
      </c>
      <c r="E61" s="250">
        <f t="shared" si="0"/>
        <v>11</v>
      </c>
      <c r="F61" s="250">
        <f t="shared" si="1"/>
        <v>3</v>
      </c>
      <c r="G61" s="250">
        <f t="shared" si="2"/>
        <v>1</v>
      </c>
      <c r="H61" s="251">
        <f>4*D61*'[3]Base Costs'!$B$7</f>
        <v>16588.633137176766</v>
      </c>
      <c r="I61" s="252">
        <f>4*IF(E61&lt;=3,E61*'[3]Base Costs'!$B$8,IF(F61&lt;=3,F61*'[3]Base Costs'!$B$9,'[3]Base Costs'!$B$10*G61))</f>
        <v>4200</v>
      </c>
      <c r="J61" s="253">
        <f>C61*'[3]Base Costs'!$B$6</f>
        <v>21.200704508528048</v>
      </c>
      <c r="K61" s="250">
        <f t="shared" si="3"/>
        <v>3</v>
      </c>
      <c r="L61" s="250">
        <f t="shared" si="4"/>
        <v>1</v>
      </c>
      <c r="M61" s="250">
        <f t="shared" si="5"/>
        <v>1</v>
      </c>
      <c r="N61" s="251">
        <f>4*J61*'[3]Base Costs'!$B$7</f>
        <v>4213.5128168428992</v>
      </c>
      <c r="O61" s="252">
        <f>4*IF(K61&lt;=3,K61*'[3]Base Costs'!$B$8,IF(L61&lt;=3,L61*'[3]Base Costs'!$B$9,'[3]Base Costs'!$B$10*M61))</f>
        <v>1500</v>
      </c>
      <c r="P61" s="252">
        <f>4*C61*'[3]Base Costs'!$B$11</f>
        <v>16693.468116951219</v>
      </c>
      <c r="Q61">
        <f>'[3]Base Costs'!$B$13+'[3]Base Costs'!$B$14</f>
        <v>414</v>
      </c>
      <c r="R61" s="239">
        <f>'[3]Base Costs'!$D$2</f>
        <v>1105.3024868650327</v>
      </c>
      <c r="S61" s="254">
        <f t="shared" si="6"/>
        <v>7232.8153037079319</v>
      </c>
    </row>
    <row r="62" spans="1:19" x14ac:dyDescent="0.25">
      <c r="A62" s="248" t="s">
        <v>872</v>
      </c>
      <c r="B62" s="248" t="s">
        <v>935</v>
      </c>
      <c r="C62" s="249">
        <v>89.999841785000001</v>
      </c>
      <c r="D62" s="250">
        <f>C62*'[3]Base Costs'!$B$5</f>
        <v>89.999841785000001</v>
      </c>
      <c r="E62" s="250">
        <f t="shared" si="0"/>
        <v>12</v>
      </c>
      <c r="F62" s="250">
        <f t="shared" si="1"/>
        <v>3</v>
      </c>
      <c r="G62" s="250">
        <f t="shared" si="2"/>
        <v>1</v>
      </c>
      <c r="H62" s="251">
        <f>4*D62*'[3]Base Costs'!$B$7</f>
        <v>17886.928555718041</v>
      </c>
      <c r="I62" s="252">
        <f>4*IF(E62&lt;=3,E62*'[3]Base Costs'!$B$8,IF(F62&lt;=3,F62*'[3]Base Costs'!$B$9,'[3]Base Costs'!$B$10*G62))</f>
        <v>4200</v>
      </c>
      <c r="J62" s="253">
        <f>C62*'[3]Base Costs'!$B$6</f>
        <v>22.859959813389999</v>
      </c>
      <c r="K62" s="250">
        <f t="shared" si="3"/>
        <v>3</v>
      </c>
      <c r="L62" s="250">
        <f t="shared" si="4"/>
        <v>1</v>
      </c>
      <c r="M62" s="250">
        <f t="shared" si="5"/>
        <v>1</v>
      </c>
      <c r="N62" s="251">
        <f>4*J62*'[3]Base Costs'!$B$7</f>
        <v>4543.2798531523822</v>
      </c>
      <c r="O62" s="252">
        <f>4*IF(K62&lt;=3,K62*'[3]Base Costs'!$B$8,IF(L62&lt;=3,L62*'[3]Base Costs'!$B$9,'[3]Base Costs'!$B$10*M62))</f>
        <v>1500</v>
      </c>
      <c r="P62" s="252">
        <f>4*C62*'[3]Base Costs'!$B$11</f>
        <v>17999.968357000002</v>
      </c>
      <c r="Q62">
        <f>'[3]Base Costs'!$B$13+'[3]Base Costs'!$B$14</f>
        <v>414</v>
      </c>
      <c r="R62" s="239">
        <f>'[3]Base Costs'!$D$2</f>
        <v>1105.3024868650327</v>
      </c>
      <c r="S62" s="254">
        <f t="shared" si="6"/>
        <v>7562.5823400174149</v>
      </c>
    </row>
    <row r="63" spans="1:19" x14ac:dyDescent="0.25">
      <c r="A63" s="248" t="s">
        <v>872</v>
      </c>
      <c r="B63" s="248" t="s">
        <v>936</v>
      </c>
      <c r="C63" s="249">
        <v>96.600016335000007</v>
      </c>
      <c r="D63" s="250">
        <f>C63*'[3]Base Costs'!$B$5</f>
        <v>96.600016335000007</v>
      </c>
      <c r="E63" s="250">
        <f t="shared" si="0"/>
        <v>13</v>
      </c>
      <c r="F63" s="250">
        <f t="shared" si="1"/>
        <v>3</v>
      </c>
      <c r="G63" s="250">
        <f t="shared" si="2"/>
        <v>1</v>
      </c>
      <c r="H63" s="251">
        <f>4*D63*'[3]Base Costs'!$B$7</f>
        <v>19198.673646483243</v>
      </c>
      <c r="I63" s="252">
        <f>4*IF(E63&lt;=3,E63*'[3]Base Costs'!$B$8,IF(F63&lt;=3,F63*'[3]Base Costs'!$B$9,'[3]Base Costs'!$B$10*G63))</f>
        <v>4200</v>
      </c>
      <c r="J63" s="253">
        <f>C63*'[3]Base Costs'!$B$6</f>
        <v>24.536404149090004</v>
      </c>
      <c r="K63" s="250">
        <f t="shared" si="3"/>
        <v>4</v>
      </c>
      <c r="L63" s="250">
        <f t="shared" si="4"/>
        <v>1</v>
      </c>
      <c r="M63" s="250">
        <f t="shared" si="5"/>
        <v>1</v>
      </c>
      <c r="N63" s="251">
        <f>4*J63*'[3]Base Costs'!$B$7</f>
        <v>4876.4631062067447</v>
      </c>
      <c r="O63" s="252">
        <f>4*IF(K63&lt;=3,K63*'[3]Base Costs'!$B$8,IF(L63&lt;=3,L63*'[3]Base Costs'!$B$9,'[3]Base Costs'!$B$10*M63))</f>
        <v>1400</v>
      </c>
      <c r="P63" s="252">
        <f>4*C63*'[3]Base Costs'!$B$11</f>
        <v>19320.003267</v>
      </c>
      <c r="Q63">
        <f>'[3]Base Costs'!$B$13+'[3]Base Costs'!$B$14</f>
        <v>414</v>
      </c>
      <c r="R63" s="239">
        <f>'[3]Base Costs'!$D$2</f>
        <v>1105.3024868650327</v>
      </c>
      <c r="S63" s="254">
        <f t="shared" si="6"/>
        <v>7795.7655930717774</v>
      </c>
    </row>
    <row r="64" spans="1:19" x14ac:dyDescent="0.25">
      <c r="A64" s="248" t="s">
        <v>872</v>
      </c>
      <c r="B64" s="248" t="s">
        <v>937</v>
      </c>
      <c r="C64" s="249">
        <v>52.422417441599976</v>
      </c>
      <c r="D64" s="250">
        <f>C64*'[3]Base Costs'!$B$5</f>
        <v>52.422417441599976</v>
      </c>
      <c r="E64" s="250">
        <f t="shared" si="0"/>
        <v>7</v>
      </c>
      <c r="F64" s="250">
        <f t="shared" si="1"/>
        <v>2</v>
      </c>
      <c r="G64" s="250">
        <f t="shared" si="2"/>
        <v>1</v>
      </c>
      <c r="H64" s="251">
        <f>4*D64*'[3]Base Costs'!$B$7</f>
        <v>10418.640932013346</v>
      </c>
      <c r="I64" s="252">
        <f>4*IF(E64&lt;=3,E64*'[3]Base Costs'!$B$8,IF(F64&lt;=3,F64*'[3]Base Costs'!$B$9,'[3]Base Costs'!$B$10*G64))</f>
        <v>2800</v>
      </c>
      <c r="J64" s="253">
        <f>C64*'[3]Base Costs'!$B$6</f>
        <v>13.315294030166394</v>
      </c>
      <c r="K64" s="250">
        <f t="shared" si="3"/>
        <v>2</v>
      </c>
      <c r="L64" s="250">
        <f t="shared" si="4"/>
        <v>1</v>
      </c>
      <c r="M64" s="250">
        <f t="shared" si="5"/>
        <v>1</v>
      </c>
      <c r="N64" s="251">
        <f>4*J64*'[3]Base Costs'!$B$7</f>
        <v>2646.3347967313903</v>
      </c>
      <c r="O64" s="252">
        <f>4*IF(K64&lt;=3,K64*'[3]Base Costs'!$B$8,IF(L64&lt;=3,L64*'[3]Base Costs'!$B$9,'[3]Base Costs'!$B$10*M64))</f>
        <v>1000</v>
      </c>
      <c r="P64" s="252">
        <f>4*C64*'[3]Base Costs'!$B$11</f>
        <v>10484.483488319995</v>
      </c>
      <c r="Q64">
        <f>'[3]Base Costs'!$B$13+'[3]Base Costs'!$B$14</f>
        <v>414</v>
      </c>
      <c r="R64" s="239">
        <f>'[3]Base Costs'!$D$2</f>
        <v>1105.3024868650327</v>
      </c>
      <c r="S64" s="254">
        <f t="shared" si="6"/>
        <v>5165.637283596423</v>
      </c>
    </row>
    <row r="65" spans="1:19" x14ac:dyDescent="0.25">
      <c r="A65" s="248" t="s">
        <v>872</v>
      </c>
      <c r="B65" s="248" t="s">
        <v>938</v>
      </c>
      <c r="C65" s="249">
        <v>138.82300364620804</v>
      </c>
      <c r="D65" s="250">
        <f>C65*'[3]Base Costs'!$B$5</f>
        <v>138.82300364620804</v>
      </c>
      <c r="E65" s="250">
        <f t="shared" si="0"/>
        <v>18</v>
      </c>
      <c r="F65" s="250">
        <f t="shared" si="1"/>
        <v>4</v>
      </c>
      <c r="G65" s="250">
        <f t="shared" si="2"/>
        <v>1</v>
      </c>
      <c r="H65" s="251">
        <f>4*D65*'[3]Base Costs'!$B$7</f>
        <v>27590.239036661973</v>
      </c>
      <c r="I65" s="252">
        <f>4*IF(E65&lt;=3,E65*'[3]Base Costs'!$B$8,IF(F65&lt;=3,F65*'[3]Base Costs'!$B$9,'[3]Base Costs'!$B$10*G65))</f>
        <v>4400</v>
      </c>
      <c r="J65" s="253">
        <f>C65*'[3]Base Costs'!$B$6</f>
        <v>35.261042926136845</v>
      </c>
      <c r="K65" s="250">
        <f t="shared" si="3"/>
        <v>5</v>
      </c>
      <c r="L65" s="250">
        <f t="shared" si="4"/>
        <v>1</v>
      </c>
      <c r="M65" s="250">
        <f t="shared" si="5"/>
        <v>1</v>
      </c>
      <c r="N65" s="251">
        <f>4*J65*'[3]Base Costs'!$B$7</f>
        <v>7007.9207153121424</v>
      </c>
      <c r="O65" s="252">
        <f>4*IF(K65&lt;=3,K65*'[3]Base Costs'!$B$8,IF(L65&lt;=3,L65*'[3]Base Costs'!$B$9,'[3]Base Costs'!$B$10*M65))</f>
        <v>1400</v>
      </c>
      <c r="P65" s="252">
        <f>4*C65*'[3]Base Costs'!$B$11</f>
        <v>27764.600729241607</v>
      </c>
      <c r="Q65">
        <f>'[3]Base Costs'!$B$13+'[3]Base Costs'!$B$14</f>
        <v>414</v>
      </c>
      <c r="R65" s="239">
        <f>'[3]Base Costs'!$D$2</f>
        <v>1105.3024868650327</v>
      </c>
      <c r="S65" s="254">
        <f t="shared" si="6"/>
        <v>9927.2232021771742</v>
      </c>
    </row>
    <row r="66" spans="1:19" x14ac:dyDescent="0.25">
      <c r="A66" s="248" t="s">
        <v>872</v>
      </c>
      <c r="B66" s="248" t="s">
        <v>939</v>
      </c>
      <c r="C66" s="249">
        <v>142.82094907483105</v>
      </c>
      <c r="D66" s="250">
        <f>C66*'[3]Base Costs'!$B$5</f>
        <v>142.82094907483105</v>
      </c>
      <c r="E66" s="250">
        <f t="shared" si="0"/>
        <v>18</v>
      </c>
      <c r="F66" s="250">
        <f t="shared" si="1"/>
        <v>4</v>
      </c>
      <c r="G66" s="250">
        <f t="shared" si="2"/>
        <v>1</v>
      </c>
      <c r="H66" s="251">
        <f>4*D66*'[3]Base Costs'!$B$7</f>
        <v>28384.806702928225</v>
      </c>
      <c r="I66" s="252">
        <f>4*IF(E66&lt;=3,E66*'[3]Base Costs'!$B$8,IF(F66&lt;=3,F66*'[3]Base Costs'!$B$9,'[3]Base Costs'!$B$10*G66))</f>
        <v>4400</v>
      </c>
      <c r="J66" s="253">
        <f>C66*'[3]Base Costs'!$B$6</f>
        <v>36.276521065007088</v>
      </c>
      <c r="K66" s="250">
        <f t="shared" si="3"/>
        <v>5</v>
      </c>
      <c r="L66" s="250">
        <f t="shared" si="4"/>
        <v>1</v>
      </c>
      <c r="M66" s="250">
        <f t="shared" si="5"/>
        <v>1</v>
      </c>
      <c r="N66" s="251">
        <f>4*J66*'[3]Base Costs'!$B$7</f>
        <v>7209.7409025437701</v>
      </c>
      <c r="O66" s="252">
        <f>4*IF(K66&lt;=3,K66*'[3]Base Costs'!$B$8,IF(L66&lt;=3,L66*'[3]Base Costs'!$B$9,'[3]Base Costs'!$B$10*M66))</f>
        <v>1400</v>
      </c>
      <c r="P66" s="252">
        <f>4*C66*'[3]Base Costs'!$B$11</f>
        <v>28564.189814966208</v>
      </c>
      <c r="Q66">
        <f>'[3]Base Costs'!$B$13+'[3]Base Costs'!$B$14</f>
        <v>414</v>
      </c>
      <c r="R66" s="239">
        <f>'[3]Base Costs'!$D$2</f>
        <v>1105.3024868650327</v>
      </c>
      <c r="S66" s="254">
        <f t="shared" si="6"/>
        <v>10129.043389408802</v>
      </c>
    </row>
    <row r="67" spans="1:19" x14ac:dyDescent="0.25">
      <c r="A67" s="248" t="s">
        <v>872</v>
      </c>
      <c r="B67" s="248" t="s">
        <v>940</v>
      </c>
      <c r="C67" s="249">
        <v>129.84675261997489</v>
      </c>
      <c r="D67" s="250">
        <f>C67*'[3]Base Costs'!$B$5</f>
        <v>129.84675261997489</v>
      </c>
      <c r="E67" s="250">
        <f t="shared" si="0"/>
        <v>17</v>
      </c>
      <c r="F67" s="250">
        <f t="shared" si="1"/>
        <v>4</v>
      </c>
      <c r="G67" s="250">
        <f t="shared" si="2"/>
        <v>1</v>
      </c>
      <c r="H67" s="251">
        <f>4*D67*'[3]Base Costs'!$B$7</f>
        <v>25806.263002704294</v>
      </c>
      <c r="I67" s="252">
        <f>4*IF(E67&lt;=3,E67*'[3]Base Costs'!$B$8,IF(F67&lt;=3,F67*'[3]Base Costs'!$B$9,'[3]Base Costs'!$B$10*G67))</f>
        <v>4400</v>
      </c>
      <c r="J67" s="253">
        <f>C67*'[3]Base Costs'!$B$6</f>
        <v>32.981075165473626</v>
      </c>
      <c r="K67" s="250">
        <f t="shared" si="3"/>
        <v>5</v>
      </c>
      <c r="L67" s="250">
        <f t="shared" si="4"/>
        <v>1</v>
      </c>
      <c r="M67" s="250">
        <f t="shared" si="5"/>
        <v>1</v>
      </c>
      <c r="N67" s="251">
        <f>4*J67*'[3]Base Costs'!$B$7</f>
        <v>6554.7908026868918</v>
      </c>
      <c r="O67" s="252">
        <f>4*IF(K67&lt;=3,K67*'[3]Base Costs'!$B$8,IF(L67&lt;=3,L67*'[3]Base Costs'!$B$9,'[3]Base Costs'!$B$10*M67))</f>
        <v>1400</v>
      </c>
      <c r="P67" s="252">
        <f>4*C67*'[3]Base Costs'!$B$11</f>
        <v>25969.350523994977</v>
      </c>
      <c r="Q67">
        <f>'[3]Base Costs'!$B$13+'[3]Base Costs'!$B$14</f>
        <v>414</v>
      </c>
      <c r="R67" s="239">
        <f>'[3]Base Costs'!$D$2</f>
        <v>1105.3024868650327</v>
      </c>
      <c r="S67" s="254">
        <f t="shared" si="6"/>
        <v>9474.0932895519254</v>
      </c>
    </row>
    <row r="68" spans="1:19" x14ac:dyDescent="0.25">
      <c r="A68" s="248" t="s">
        <v>872</v>
      </c>
      <c r="B68" s="248" t="s">
        <v>941</v>
      </c>
      <c r="C68" s="249">
        <v>160.10061849658041</v>
      </c>
      <c r="D68" s="250">
        <f>C68*'[3]Base Costs'!$B$5</f>
        <v>160.10061849658041</v>
      </c>
      <c r="E68" s="250">
        <f t="shared" ref="E68:E131" si="7">ROUNDUP(D68/8,0)</f>
        <v>21</v>
      </c>
      <c r="F68" s="250">
        <f t="shared" ref="F68:F131" si="8">ROUNDUP(D68/40,0)</f>
        <v>5</v>
      </c>
      <c r="G68" s="250">
        <f t="shared" ref="G68:G131" si="9">ROUNDUP(D68/(40*4),0)</f>
        <v>2</v>
      </c>
      <c r="H68" s="251">
        <f>4*D68*'[3]Base Costs'!$B$7</f>
        <v>31819.037322484382</v>
      </c>
      <c r="I68" s="252">
        <f>4*IF(E68&lt;=3,E68*'[3]Base Costs'!$B$8,IF(F68&lt;=3,F68*'[3]Base Costs'!$B$9,'[3]Base Costs'!$B$10*G68))</f>
        <v>8800</v>
      </c>
      <c r="J68" s="253">
        <f>C68*'[3]Base Costs'!$B$6</f>
        <v>40.665557098131423</v>
      </c>
      <c r="K68" s="250">
        <f t="shared" ref="K68:K131" si="10">ROUNDUP(J68/8,0)</f>
        <v>6</v>
      </c>
      <c r="L68" s="250">
        <f t="shared" ref="L68:L131" si="11">ROUNDUP(J68/40,0)</f>
        <v>2</v>
      </c>
      <c r="M68" s="250">
        <f t="shared" ref="M68:M131" si="12">ROUNDUP(J68/(40*4),0)</f>
        <v>1</v>
      </c>
      <c r="N68" s="251">
        <f>4*J68*'[3]Base Costs'!$B$7</f>
        <v>8082.0354799110328</v>
      </c>
      <c r="O68" s="252">
        <f>4*IF(K68&lt;=3,K68*'[3]Base Costs'!$B$8,IF(L68&lt;=3,L68*'[3]Base Costs'!$B$9,'[3]Base Costs'!$B$10*M68))</f>
        <v>2800</v>
      </c>
      <c r="P68" s="252">
        <f>4*C68*'[3]Base Costs'!$B$11</f>
        <v>32020.123699316082</v>
      </c>
      <c r="Q68">
        <f>'[3]Base Costs'!$B$13+'[3]Base Costs'!$B$14</f>
        <v>414</v>
      </c>
      <c r="R68" s="239">
        <f>'[3]Base Costs'!$D$2</f>
        <v>1105.3024868650327</v>
      </c>
      <c r="S68" s="254">
        <f t="shared" ref="S68:S131" si="13">R68+Q68+N68+O68</f>
        <v>12401.337966776066</v>
      </c>
    </row>
    <row r="69" spans="1:19" x14ac:dyDescent="0.25">
      <c r="A69" s="248" t="s">
        <v>872</v>
      </c>
      <c r="B69" s="248" t="s">
        <v>942</v>
      </c>
      <c r="C69" s="249">
        <v>155.20714591728358</v>
      </c>
      <c r="D69" s="250">
        <f>C69*'[3]Base Costs'!$B$5</f>
        <v>155.20714591728358</v>
      </c>
      <c r="E69" s="250">
        <f t="shared" si="7"/>
        <v>20</v>
      </c>
      <c r="F69" s="250">
        <f t="shared" si="8"/>
        <v>4</v>
      </c>
      <c r="G69" s="250">
        <f t="shared" si="9"/>
        <v>1</v>
      </c>
      <c r="H69" s="251">
        <f>4*D69*'[3]Base Costs'!$B$7</f>
        <v>30846.489008184613</v>
      </c>
      <c r="I69" s="252">
        <f>4*IF(E69&lt;=3,E69*'[3]Base Costs'!$B$8,IF(F69&lt;=3,F69*'[3]Base Costs'!$B$9,'[3]Base Costs'!$B$10*G69))</f>
        <v>4400</v>
      </c>
      <c r="J69" s="253">
        <f>C69*'[3]Base Costs'!$B$6</f>
        <v>39.422615062990033</v>
      </c>
      <c r="K69" s="250">
        <f t="shared" si="10"/>
        <v>5</v>
      </c>
      <c r="L69" s="250">
        <f t="shared" si="11"/>
        <v>1</v>
      </c>
      <c r="M69" s="250">
        <f t="shared" si="12"/>
        <v>1</v>
      </c>
      <c r="N69" s="251">
        <f>4*J69*'[3]Base Costs'!$B$7</f>
        <v>7835.0082080788925</v>
      </c>
      <c r="O69" s="252">
        <f>4*IF(K69&lt;=3,K69*'[3]Base Costs'!$B$8,IF(L69&lt;=3,L69*'[3]Base Costs'!$B$9,'[3]Base Costs'!$B$10*M69))</f>
        <v>1400</v>
      </c>
      <c r="P69" s="252">
        <f>4*C69*'[3]Base Costs'!$B$11</f>
        <v>31041.429183456716</v>
      </c>
      <c r="Q69">
        <f>'[3]Base Costs'!$B$13+'[3]Base Costs'!$B$14</f>
        <v>414</v>
      </c>
      <c r="R69" s="239">
        <f>'[3]Base Costs'!$D$2</f>
        <v>1105.3024868650327</v>
      </c>
      <c r="S69" s="254">
        <f t="shared" si="13"/>
        <v>10754.310694943924</v>
      </c>
    </row>
    <row r="70" spans="1:19" x14ac:dyDescent="0.25">
      <c r="A70" s="248" t="s">
        <v>872</v>
      </c>
      <c r="B70" s="248" t="s">
        <v>943</v>
      </c>
      <c r="C70" s="249">
        <v>89.021334053638213</v>
      </c>
      <c r="D70" s="250">
        <f>C70*'[3]Base Costs'!$B$5</f>
        <v>89.021334053638213</v>
      </c>
      <c r="E70" s="250">
        <f t="shared" si="7"/>
        <v>12</v>
      </c>
      <c r="F70" s="250">
        <f t="shared" si="8"/>
        <v>3</v>
      </c>
      <c r="G70" s="250">
        <f t="shared" si="9"/>
        <v>1</v>
      </c>
      <c r="H70" s="251">
        <f>4*D70*'[3]Base Costs'!$B$7</f>
        <v>17692.456015156276</v>
      </c>
      <c r="I70" s="252">
        <f>4*IF(E70&lt;=3,E70*'[3]Base Costs'!$B$8,IF(F70&lt;=3,F70*'[3]Base Costs'!$B$9,'[3]Base Costs'!$B$10*G70))</f>
        <v>4200</v>
      </c>
      <c r="J70" s="253">
        <f>C70*'[3]Base Costs'!$B$6</f>
        <v>22.611418849624105</v>
      </c>
      <c r="K70" s="250">
        <f t="shared" si="10"/>
        <v>3</v>
      </c>
      <c r="L70" s="250">
        <f t="shared" si="11"/>
        <v>1</v>
      </c>
      <c r="M70" s="250">
        <f t="shared" si="12"/>
        <v>1</v>
      </c>
      <c r="N70" s="251">
        <f>4*J70*'[3]Base Costs'!$B$7</f>
        <v>4493.8838278496942</v>
      </c>
      <c r="O70" s="252">
        <f>4*IF(K70&lt;=3,K70*'[3]Base Costs'!$B$8,IF(L70&lt;=3,L70*'[3]Base Costs'!$B$9,'[3]Base Costs'!$B$10*M70))</f>
        <v>1500</v>
      </c>
      <c r="P70" s="252">
        <f>4*C70*'[3]Base Costs'!$B$11</f>
        <v>17804.266810727644</v>
      </c>
      <c r="Q70">
        <f>'[3]Base Costs'!$B$13+'[3]Base Costs'!$B$14</f>
        <v>414</v>
      </c>
      <c r="R70" s="239">
        <f>'[3]Base Costs'!$D$2</f>
        <v>1105.3024868650327</v>
      </c>
      <c r="S70" s="254">
        <f t="shared" si="13"/>
        <v>7513.1863147147269</v>
      </c>
    </row>
    <row r="71" spans="1:19" x14ac:dyDescent="0.25">
      <c r="A71" s="248" t="s">
        <v>872</v>
      </c>
      <c r="B71" s="248" t="s">
        <v>944</v>
      </c>
      <c r="C71" s="249">
        <v>56.076779652284003</v>
      </c>
      <c r="D71" s="250">
        <f>C71*'[3]Base Costs'!$B$5</f>
        <v>56.076779652284003</v>
      </c>
      <c r="E71" s="250">
        <f t="shared" si="7"/>
        <v>8</v>
      </c>
      <c r="F71" s="250">
        <f t="shared" si="8"/>
        <v>2</v>
      </c>
      <c r="G71" s="250">
        <f t="shared" si="9"/>
        <v>1</v>
      </c>
      <c r="H71" s="251">
        <f>4*D71*'[3]Base Costs'!$B$7</f>
        <v>11144.923495213534</v>
      </c>
      <c r="I71" s="252">
        <f>4*IF(E71&lt;=3,E71*'[3]Base Costs'!$B$8,IF(F71&lt;=3,F71*'[3]Base Costs'!$B$9,'[3]Base Costs'!$B$10*G71))</f>
        <v>2800</v>
      </c>
      <c r="J71" s="253">
        <f>C71*'[3]Base Costs'!$B$6</f>
        <v>14.243502031680137</v>
      </c>
      <c r="K71" s="250">
        <f t="shared" si="10"/>
        <v>2</v>
      </c>
      <c r="L71" s="250">
        <f t="shared" si="11"/>
        <v>1</v>
      </c>
      <c r="M71" s="250">
        <f t="shared" si="12"/>
        <v>1</v>
      </c>
      <c r="N71" s="251">
        <f>4*J71*'[3]Base Costs'!$B$7</f>
        <v>2830.8105677842377</v>
      </c>
      <c r="O71" s="252">
        <f>4*IF(K71&lt;=3,K71*'[3]Base Costs'!$B$8,IF(L71&lt;=3,L71*'[3]Base Costs'!$B$9,'[3]Base Costs'!$B$10*M71))</f>
        <v>1000</v>
      </c>
      <c r="P71" s="252">
        <f>4*C71*'[3]Base Costs'!$B$11</f>
        <v>11215.355930456801</v>
      </c>
      <c r="Q71">
        <f>'[3]Base Costs'!$B$13+'[3]Base Costs'!$B$14</f>
        <v>414</v>
      </c>
      <c r="R71" s="239">
        <f>'[3]Base Costs'!$D$2</f>
        <v>1105.3024868650327</v>
      </c>
      <c r="S71" s="254">
        <f t="shared" si="13"/>
        <v>5350.1130546492705</v>
      </c>
    </row>
    <row r="72" spans="1:19" x14ac:dyDescent="0.25">
      <c r="A72" s="248" t="s">
        <v>872</v>
      </c>
      <c r="B72" s="248" t="s">
        <v>945</v>
      </c>
      <c r="C72" s="249">
        <v>172.02044384582197</v>
      </c>
      <c r="D72" s="250">
        <f>C72*'[3]Base Costs'!$B$5</f>
        <v>172.02044384582197</v>
      </c>
      <c r="E72" s="250">
        <f t="shared" si="7"/>
        <v>22</v>
      </c>
      <c r="F72" s="250">
        <f t="shared" si="8"/>
        <v>5</v>
      </c>
      <c r="G72" s="250">
        <f t="shared" si="9"/>
        <v>2</v>
      </c>
      <c r="H72" s="251">
        <f>4*D72*'[3]Base Costs'!$B$7</f>
        <v>34188.031091694043</v>
      </c>
      <c r="I72" s="252">
        <f>4*IF(E72&lt;=3,E72*'[3]Base Costs'!$B$8,IF(F72&lt;=3,F72*'[3]Base Costs'!$B$9,'[3]Base Costs'!$B$10*G72))</f>
        <v>8800</v>
      </c>
      <c r="J72" s="253">
        <f>C72*'[3]Base Costs'!$B$6</f>
        <v>43.693192736838782</v>
      </c>
      <c r="K72" s="250">
        <f t="shared" si="10"/>
        <v>6</v>
      </c>
      <c r="L72" s="250">
        <f t="shared" si="11"/>
        <v>2</v>
      </c>
      <c r="M72" s="250">
        <f t="shared" si="12"/>
        <v>1</v>
      </c>
      <c r="N72" s="251">
        <f>4*J72*'[3]Base Costs'!$B$7</f>
        <v>8683.7598972902888</v>
      </c>
      <c r="O72" s="252">
        <f>4*IF(K72&lt;=3,K72*'[3]Base Costs'!$B$8,IF(L72&lt;=3,L72*'[3]Base Costs'!$B$9,'[3]Base Costs'!$B$10*M72))</f>
        <v>2800</v>
      </c>
      <c r="P72" s="252">
        <f>4*C72*'[3]Base Costs'!$B$11</f>
        <v>34404.088769164395</v>
      </c>
      <c r="Q72">
        <f>'[3]Base Costs'!$B$13+'[3]Base Costs'!$B$14</f>
        <v>414</v>
      </c>
      <c r="R72" s="239">
        <f>'[3]Base Costs'!$D$2</f>
        <v>1105.3024868650327</v>
      </c>
      <c r="S72" s="254">
        <f t="shared" si="13"/>
        <v>13003.062384155321</v>
      </c>
    </row>
    <row r="73" spans="1:19" x14ac:dyDescent="0.25">
      <c r="A73" s="248" t="s">
        <v>872</v>
      </c>
      <c r="B73" s="248" t="s">
        <v>946</v>
      </c>
      <c r="C73" s="249">
        <v>239.99304784384373</v>
      </c>
      <c r="D73" s="250">
        <f>C73*'[3]Base Costs'!$B$5</f>
        <v>239.99304784384373</v>
      </c>
      <c r="E73" s="250">
        <f t="shared" si="7"/>
        <v>30</v>
      </c>
      <c r="F73" s="250">
        <f t="shared" si="8"/>
        <v>6</v>
      </c>
      <c r="G73" s="250">
        <f t="shared" si="9"/>
        <v>2</v>
      </c>
      <c r="H73" s="251">
        <f>4*D73*'[3]Base Costs'!$B$7</f>
        <v>47697.178300676882</v>
      </c>
      <c r="I73" s="252">
        <f>4*IF(E73&lt;=3,E73*'[3]Base Costs'!$B$8,IF(F73&lt;=3,F73*'[3]Base Costs'!$B$9,'[3]Base Costs'!$B$10*G73))</f>
        <v>8800</v>
      </c>
      <c r="J73" s="253">
        <f>C73*'[3]Base Costs'!$B$6</f>
        <v>60.95823415233631</v>
      </c>
      <c r="K73" s="250">
        <f t="shared" si="10"/>
        <v>8</v>
      </c>
      <c r="L73" s="250">
        <f t="shared" si="11"/>
        <v>2</v>
      </c>
      <c r="M73" s="250">
        <f t="shared" si="12"/>
        <v>1</v>
      </c>
      <c r="N73" s="251">
        <f>4*J73*'[3]Base Costs'!$B$7</f>
        <v>12115.083288371929</v>
      </c>
      <c r="O73" s="252">
        <f>4*IF(K73&lt;=3,K73*'[3]Base Costs'!$B$8,IF(L73&lt;=3,L73*'[3]Base Costs'!$B$9,'[3]Base Costs'!$B$10*M73))</f>
        <v>2800</v>
      </c>
      <c r="P73" s="252">
        <f>4*C73*'[3]Base Costs'!$B$11</f>
        <v>47998.609568768748</v>
      </c>
      <c r="Q73">
        <f>'[3]Base Costs'!$B$13+'[3]Base Costs'!$B$14</f>
        <v>414</v>
      </c>
      <c r="R73" s="239">
        <f>'[3]Base Costs'!$D$2</f>
        <v>1105.3024868650327</v>
      </c>
      <c r="S73" s="254">
        <f t="shared" si="13"/>
        <v>16434.385775236962</v>
      </c>
    </row>
    <row r="74" spans="1:19" x14ac:dyDescent="0.25">
      <c r="A74" s="248" t="s">
        <v>872</v>
      </c>
      <c r="B74" s="248" t="s">
        <v>947</v>
      </c>
      <c r="C74" s="249">
        <v>159.50000000000003</v>
      </c>
      <c r="D74" s="250">
        <f>C74*'[3]Base Costs'!$B$5</f>
        <v>159.50000000000003</v>
      </c>
      <c r="E74" s="250">
        <f t="shared" si="7"/>
        <v>20</v>
      </c>
      <c r="F74" s="250">
        <f t="shared" si="8"/>
        <v>4</v>
      </c>
      <c r="G74" s="250">
        <f t="shared" si="9"/>
        <v>1</v>
      </c>
      <c r="H74" s="251">
        <f>4*D74*'[3]Base Costs'!$B$7</f>
        <v>31699.668000000009</v>
      </c>
      <c r="I74" s="252">
        <f>4*IF(E74&lt;=3,E74*'[3]Base Costs'!$B$8,IF(F74&lt;=3,F74*'[3]Base Costs'!$B$9,'[3]Base Costs'!$B$10*G74))</f>
        <v>4400</v>
      </c>
      <c r="J74" s="253">
        <f>C74*'[3]Base Costs'!$B$6</f>
        <v>40.513000000000005</v>
      </c>
      <c r="K74" s="250">
        <f t="shared" si="10"/>
        <v>6</v>
      </c>
      <c r="L74" s="250">
        <f t="shared" si="11"/>
        <v>2</v>
      </c>
      <c r="M74" s="250">
        <f t="shared" si="12"/>
        <v>1</v>
      </c>
      <c r="N74" s="251">
        <f>4*J74*'[3]Base Costs'!$B$7</f>
        <v>8051.7156720000021</v>
      </c>
      <c r="O74" s="252">
        <f>4*IF(K74&lt;=3,K74*'[3]Base Costs'!$B$8,IF(L74&lt;=3,L74*'[3]Base Costs'!$B$9,'[3]Base Costs'!$B$10*M74))</f>
        <v>2800</v>
      </c>
      <c r="P74" s="252">
        <f>4*C74*'[3]Base Costs'!$B$11</f>
        <v>31900.000000000007</v>
      </c>
      <c r="Q74">
        <f>'[3]Base Costs'!$B$13+'[3]Base Costs'!$B$14</f>
        <v>414</v>
      </c>
      <c r="R74" s="239">
        <f>'[3]Base Costs'!$D$2</f>
        <v>1105.3024868650327</v>
      </c>
      <c r="S74" s="254">
        <f t="shared" si="13"/>
        <v>12371.018158865034</v>
      </c>
    </row>
    <row r="75" spans="1:19" x14ac:dyDescent="0.25">
      <c r="A75" s="248" t="s">
        <v>872</v>
      </c>
      <c r="B75" s="248" t="s">
        <v>948</v>
      </c>
      <c r="C75" s="249">
        <v>130.41190190040251</v>
      </c>
      <c r="D75" s="250">
        <f>C75*'[3]Base Costs'!$B$5</f>
        <v>130.41190190040251</v>
      </c>
      <c r="E75" s="250">
        <f t="shared" si="7"/>
        <v>17</v>
      </c>
      <c r="F75" s="250">
        <f t="shared" si="8"/>
        <v>4</v>
      </c>
      <c r="G75" s="250">
        <f t="shared" si="9"/>
        <v>1</v>
      </c>
      <c r="H75" s="251">
        <f>4*D75*'[3]Base Costs'!$B$7</f>
        <v>25918.583031293601</v>
      </c>
      <c r="I75" s="252">
        <f>4*IF(E75&lt;=3,E75*'[3]Base Costs'!$B$8,IF(F75&lt;=3,F75*'[3]Base Costs'!$B$9,'[3]Base Costs'!$B$10*G75))</f>
        <v>4400</v>
      </c>
      <c r="J75" s="253">
        <f>C75*'[3]Base Costs'!$B$6</f>
        <v>33.124623082702236</v>
      </c>
      <c r="K75" s="250">
        <f t="shared" si="10"/>
        <v>5</v>
      </c>
      <c r="L75" s="250">
        <f t="shared" si="11"/>
        <v>1</v>
      </c>
      <c r="M75" s="250">
        <f t="shared" si="12"/>
        <v>1</v>
      </c>
      <c r="N75" s="251">
        <f>4*J75*'[3]Base Costs'!$B$7</f>
        <v>6583.3200899485737</v>
      </c>
      <c r="O75" s="252">
        <f>4*IF(K75&lt;=3,K75*'[3]Base Costs'!$B$8,IF(L75&lt;=3,L75*'[3]Base Costs'!$B$9,'[3]Base Costs'!$B$10*M75))</f>
        <v>1400</v>
      </c>
      <c r="P75" s="252">
        <f>4*C75*'[3]Base Costs'!$B$11</f>
        <v>26082.380380080504</v>
      </c>
      <c r="Q75">
        <f>'[3]Base Costs'!$B$13+'[3]Base Costs'!$B$14</f>
        <v>414</v>
      </c>
      <c r="R75" s="239">
        <f>'[3]Base Costs'!$D$2</f>
        <v>1105.3024868650327</v>
      </c>
      <c r="S75" s="254">
        <f t="shared" si="13"/>
        <v>9502.6225768136064</v>
      </c>
    </row>
    <row r="76" spans="1:19" x14ac:dyDescent="0.25">
      <c r="A76" s="248" t="s">
        <v>872</v>
      </c>
      <c r="B76" s="248" t="s">
        <v>949</v>
      </c>
      <c r="C76" s="249">
        <v>255.00247580000001</v>
      </c>
      <c r="D76" s="250">
        <f>C76*'[3]Base Costs'!$B$5</f>
        <v>255.00247580000001</v>
      </c>
      <c r="E76" s="250">
        <f t="shared" si="7"/>
        <v>32</v>
      </c>
      <c r="F76" s="250">
        <f t="shared" si="8"/>
        <v>7</v>
      </c>
      <c r="G76" s="250">
        <f t="shared" si="9"/>
        <v>2</v>
      </c>
      <c r="H76" s="251">
        <f>4*D76*'[3]Base Costs'!$B$7</f>
        <v>50680.21205039521</v>
      </c>
      <c r="I76" s="252">
        <f>4*IF(E76&lt;=3,E76*'[3]Base Costs'!$B$8,IF(F76&lt;=3,F76*'[3]Base Costs'!$B$9,'[3]Base Costs'!$B$10*G76))</f>
        <v>8800</v>
      </c>
      <c r="J76" s="253">
        <f>C76*'[3]Base Costs'!$B$6</f>
        <v>64.770628853200009</v>
      </c>
      <c r="K76" s="250">
        <f t="shared" si="10"/>
        <v>9</v>
      </c>
      <c r="L76" s="250">
        <f t="shared" si="11"/>
        <v>2</v>
      </c>
      <c r="M76" s="250">
        <f t="shared" si="12"/>
        <v>1</v>
      </c>
      <c r="N76" s="251">
        <f>4*J76*'[3]Base Costs'!$B$7</f>
        <v>12872.773860800384</v>
      </c>
      <c r="O76" s="252">
        <f>4*IF(K76&lt;=3,K76*'[3]Base Costs'!$B$8,IF(L76&lt;=3,L76*'[3]Base Costs'!$B$9,'[3]Base Costs'!$B$10*M76))</f>
        <v>2800</v>
      </c>
      <c r="P76" s="252">
        <f>4*C76*'[3]Base Costs'!$B$11</f>
        <v>51000.495160000006</v>
      </c>
      <c r="Q76">
        <f>'[3]Base Costs'!$B$13+'[3]Base Costs'!$B$14</f>
        <v>414</v>
      </c>
      <c r="R76" s="239">
        <f>'[3]Base Costs'!$D$2</f>
        <v>1105.3024868650327</v>
      </c>
      <c r="S76" s="254">
        <f t="shared" si="13"/>
        <v>17192.076347665417</v>
      </c>
    </row>
    <row r="77" spans="1:19" x14ac:dyDescent="0.25">
      <c r="A77" s="248" t="s">
        <v>872</v>
      </c>
      <c r="B77" s="248" t="s">
        <v>950</v>
      </c>
      <c r="C77" s="249">
        <v>50.200369170000002</v>
      </c>
      <c r="D77" s="250">
        <f>C77*'[3]Base Costs'!$B$5</f>
        <v>50.200369170000002</v>
      </c>
      <c r="E77" s="250">
        <f t="shared" si="7"/>
        <v>7</v>
      </c>
      <c r="F77" s="250">
        <f t="shared" si="8"/>
        <v>2</v>
      </c>
      <c r="G77" s="250">
        <f t="shared" si="9"/>
        <v>1</v>
      </c>
      <c r="H77" s="251">
        <f>4*D77*'[3]Base Costs'!$B$7</f>
        <v>9977.0221703224815</v>
      </c>
      <c r="I77" s="252">
        <f>4*IF(E77&lt;=3,E77*'[3]Base Costs'!$B$8,IF(F77&lt;=3,F77*'[3]Base Costs'!$B$9,'[3]Base Costs'!$B$10*G77))</f>
        <v>2800</v>
      </c>
      <c r="J77" s="253">
        <f>C77*'[3]Base Costs'!$B$6</f>
        <v>12.750893769180001</v>
      </c>
      <c r="K77" s="250">
        <f t="shared" si="10"/>
        <v>2</v>
      </c>
      <c r="L77" s="250">
        <f t="shared" si="11"/>
        <v>1</v>
      </c>
      <c r="M77" s="250">
        <f t="shared" si="12"/>
        <v>1</v>
      </c>
      <c r="N77" s="251">
        <f>4*J77*'[3]Base Costs'!$B$7</f>
        <v>2534.1636312619103</v>
      </c>
      <c r="O77" s="252">
        <f>4*IF(K77&lt;=3,K77*'[3]Base Costs'!$B$8,IF(L77&lt;=3,L77*'[3]Base Costs'!$B$9,'[3]Base Costs'!$B$10*M77))</f>
        <v>1000</v>
      </c>
      <c r="P77" s="252">
        <f>4*C77*'[3]Base Costs'!$B$11</f>
        <v>10040.073834000001</v>
      </c>
      <c r="Q77">
        <f>'[3]Base Costs'!$B$13+'[3]Base Costs'!$B$14</f>
        <v>414</v>
      </c>
      <c r="R77" s="239">
        <f>'[3]Base Costs'!$D$2</f>
        <v>1105.3024868650327</v>
      </c>
      <c r="S77" s="254">
        <f t="shared" si="13"/>
        <v>5053.466118126943</v>
      </c>
    </row>
    <row r="78" spans="1:19" x14ac:dyDescent="0.25">
      <c r="A78" s="248" t="s">
        <v>872</v>
      </c>
      <c r="B78" s="248" t="s">
        <v>951</v>
      </c>
      <c r="C78" s="249">
        <v>132.83112267411974</v>
      </c>
      <c r="D78" s="250">
        <f>C78*'[3]Base Costs'!$B$5</f>
        <v>132.83112267411974</v>
      </c>
      <c r="E78" s="250">
        <f t="shared" si="7"/>
        <v>17</v>
      </c>
      <c r="F78" s="250">
        <f t="shared" si="8"/>
        <v>4</v>
      </c>
      <c r="G78" s="250">
        <f t="shared" si="9"/>
        <v>1</v>
      </c>
      <c r="H78" s="251">
        <f>4*D78*'[3]Base Costs'!$B$7</f>
        <v>26399.388644745257</v>
      </c>
      <c r="I78" s="252">
        <f>4*IF(E78&lt;=3,E78*'[3]Base Costs'!$B$8,IF(F78&lt;=3,F78*'[3]Base Costs'!$B$9,'[3]Base Costs'!$B$10*G78))</f>
        <v>4400</v>
      </c>
      <c r="J78" s="253">
        <f>C78*'[3]Base Costs'!$B$6</f>
        <v>33.739105159226412</v>
      </c>
      <c r="K78" s="250">
        <f t="shared" si="10"/>
        <v>5</v>
      </c>
      <c r="L78" s="250">
        <f t="shared" si="11"/>
        <v>1</v>
      </c>
      <c r="M78" s="250">
        <f t="shared" si="12"/>
        <v>1</v>
      </c>
      <c r="N78" s="251">
        <f>4*J78*'[3]Base Costs'!$B$7</f>
        <v>6705.4447157652949</v>
      </c>
      <c r="O78" s="252">
        <f>4*IF(K78&lt;=3,K78*'[3]Base Costs'!$B$8,IF(L78&lt;=3,L78*'[3]Base Costs'!$B$9,'[3]Base Costs'!$B$10*M78))</f>
        <v>1400</v>
      </c>
      <c r="P78" s="252">
        <f>4*C78*'[3]Base Costs'!$B$11</f>
        <v>26566.224534823948</v>
      </c>
      <c r="Q78">
        <f>'[3]Base Costs'!$B$13+'[3]Base Costs'!$B$14</f>
        <v>414</v>
      </c>
      <c r="R78" s="239">
        <f>'[3]Base Costs'!$D$2</f>
        <v>1105.3024868650327</v>
      </c>
      <c r="S78" s="254">
        <f t="shared" si="13"/>
        <v>9624.7472026303276</v>
      </c>
    </row>
    <row r="79" spans="1:19" x14ac:dyDescent="0.25">
      <c r="A79" s="248" t="s">
        <v>872</v>
      </c>
      <c r="B79" s="248" t="s">
        <v>952</v>
      </c>
      <c r="C79" s="249">
        <v>297.00266554500001</v>
      </c>
      <c r="D79" s="250">
        <f>C79*'[3]Base Costs'!$B$5</f>
        <v>297.00266554500001</v>
      </c>
      <c r="E79" s="250">
        <f t="shared" si="7"/>
        <v>38</v>
      </c>
      <c r="F79" s="250">
        <f t="shared" si="8"/>
        <v>8</v>
      </c>
      <c r="G79" s="250">
        <f t="shared" si="9"/>
        <v>2</v>
      </c>
      <c r="H79" s="251">
        <f>4*D79*'[3]Base Costs'!$B$7</f>
        <v>59027.497761075494</v>
      </c>
      <c r="I79" s="252">
        <f>4*IF(E79&lt;=3,E79*'[3]Base Costs'!$B$8,IF(F79&lt;=3,F79*'[3]Base Costs'!$B$9,'[3]Base Costs'!$B$10*G79))</f>
        <v>8800</v>
      </c>
      <c r="J79" s="253">
        <f>C79*'[3]Base Costs'!$B$6</f>
        <v>75.438677048430009</v>
      </c>
      <c r="K79" s="250">
        <f t="shared" si="10"/>
        <v>10</v>
      </c>
      <c r="L79" s="250">
        <f t="shared" si="11"/>
        <v>2</v>
      </c>
      <c r="M79" s="250">
        <f t="shared" si="12"/>
        <v>1</v>
      </c>
      <c r="N79" s="251">
        <f>4*J79*'[3]Base Costs'!$B$7</f>
        <v>14992.984431313176</v>
      </c>
      <c r="O79" s="252">
        <f>4*IF(K79&lt;=3,K79*'[3]Base Costs'!$B$8,IF(L79&lt;=3,L79*'[3]Base Costs'!$B$9,'[3]Base Costs'!$B$10*M79))</f>
        <v>2800</v>
      </c>
      <c r="P79" s="252">
        <f>4*C79*'[3]Base Costs'!$B$11</f>
        <v>59400.533109000004</v>
      </c>
      <c r="Q79">
        <f>'[3]Base Costs'!$B$13+'[3]Base Costs'!$B$14</f>
        <v>414</v>
      </c>
      <c r="R79" s="239">
        <f>'[3]Base Costs'!$D$2</f>
        <v>1105.3024868650327</v>
      </c>
      <c r="S79" s="254">
        <f t="shared" si="13"/>
        <v>19312.286918178208</v>
      </c>
    </row>
    <row r="80" spans="1:19" x14ac:dyDescent="0.25">
      <c r="A80" s="248" t="s">
        <v>872</v>
      </c>
      <c r="B80" s="248" t="s">
        <v>953</v>
      </c>
      <c r="C80" s="249">
        <v>45.800000000000018</v>
      </c>
      <c r="D80" s="250">
        <f>C80*'[3]Base Costs'!$B$5</f>
        <v>45.800000000000018</v>
      </c>
      <c r="E80" s="250">
        <f t="shared" si="7"/>
        <v>6</v>
      </c>
      <c r="F80" s="250">
        <f t="shared" si="8"/>
        <v>2</v>
      </c>
      <c r="G80" s="250">
        <f t="shared" si="9"/>
        <v>1</v>
      </c>
      <c r="H80" s="251">
        <f>4*D80*'[3]Base Costs'!$B$7</f>
        <v>9102.4752000000044</v>
      </c>
      <c r="I80" s="252">
        <f>4*IF(E80&lt;=3,E80*'[3]Base Costs'!$B$8,IF(F80&lt;=3,F80*'[3]Base Costs'!$B$9,'[3]Base Costs'!$B$10*G80))</f>
        <v>2800</v>
      </c>
      <c r="J80" s="253">
        <f>C80*'[3]Base Costs'!$B$6</f>
        <v>11.633200000000004</v>
      </c>
      <c r="K80" s="250">
        <f t="shared" si="10"/>
        <v>2</v>
      </c>
      <c r="L80" s="250">
        <f t="shared" si="11"/>
        <v>1</v>
      </c>
      <c r="M80" s="250">
        <f t="shared" si="12"/>
        <v>1</v>
      </c>
      <c r="N80" s="251">
        <f>4*J80*'[3]Base Costs'!$B$7</f>
        <v>2312.0287008000009</v>
      </c>
      <c r="O80" s="252">
        <f>4*IF(K80&lt;=3,K80*'[3]Base Costs'!$B$8,IF(L80&lt;=3,L80*'[3]Base Costs'!$B$9,'[3]Base Costs'!$B$10*M80))</f>
        <v>1000</v>
      </c>
      <c r="P80" s="252">
        <f>4*C80*'[3]Base Costs'!$B$11</f>
        <v>9160.0000000000036</v>
      </c>
      <c r="Q80">
        <f>'[3]Base Costs'!$B$13+'[3]Base Costs'!$B$14</f>
        <v>414</v>
      </c>
      <c r="R80" s="239">
        <f>'[3]Base Costs'!$D$2</f>
        <v>1105.3024868650327</v>
      </c>
      <c r="S80" s="254">
        <f t="shared" si="13"/>
        <v>4831.3311876650332</v>
      </c>
    </row>
    <row r="81" spans="1:19" x14ac:dyDescent="0.25">
      <c r="A81" s="248" t="s">
        <v>872</v>
      </c>
      <c r="B81" s="248" t="s">
        <v>954</v>
      </c>
      <c r="C81" s="249">
        <v>49.714771159856973</v>
      </c>
      <c r="D81" s="250">
        <f>C81*'[3]Base Costs'!$B$5</f>
        <v>49.714771159856973</v>
      </c>
      <c r="E81" s="250">
        <f t="shared" si="7"/>
        <v>7</v>
      </c>
      <c r="F81" s="250">
        <f t="shared" si="8"/>
        <v>2</v>
      </c>
      <c r="G81" s="250">
        <f t="shared" si="9"/>
        <v>1</v>
      </c>
      <c r="H81" s="251">
        <f>4*D81*'[3]Base Costs'!$B$7</f>
        <v>9880.5124793946161</v>
      </c>
      <c r="I81" s="252">
        <f>4*IF(E81&lt;=3,E81*'[3]Base Costs'!$B$8,IF(F81&lt;=3,F81*'[3]Base Costs'!$B$9,'[3]Base Costs'!$B$10*G81))</f>
        <v>2800</v>
      </c>
      <c r="J81" s="253">
        <f>C81*'[3]Base Costs'!$B$6</f>
        <v>12.627551874603672</v>
      </c>
      <c r="K81" s="250">
        <f t="shared" si="10"/>
        <v>2</v>
      </c>
      <c r="L81" s="250">
        <f t="shared" si="11"/>
        <v>1</v>
      </c>
      <c r="M81" s="250">
        <f t="shared" si="12"/>
        <v>1</v>
      </c>
      <c r="N81" s="251">
        <f>4*J81*'[3]Base Costs'!$B$7</f>
        <v>2509.6501697662325</v>
      </c>
      <c r="O81" s="252">
        <f>4*IF(K81&lt;=3,K81*'[3]Base Costs'!$B$8,IF(L81&lt;=3,L81*'[3]Base Costs'!$B$9,'[3]Base Costs'!$B$10*M81))</f>
        <v>1000</v>
      </c>
      <c r="P81" s="252">
        <f>4*C81*'[3]Base Costs'!$B$11</f>
        <v>9942.9542319713946</v>
      </c>
      <c r="Q81">
        <f>'[3]Base Costs'!$B$13+'[3]Base Costs'!$B$14</f>
        <v>414</v>
      </c>
      <c r="R81" s="239">
        <f>'[3]Base Costs'!$D$2</f>
        <v>1105.3024868650327</v>
      </c>
      <c r="S81" s="254">
        <f t="shared" si="13"/>
        <v>5028.9526566312652</v>
      </c>
    </row>
    <row r="82" spans="1:19" x14ac:dyDescent="0.25">
      <c r="A82" s="248" t="s">
        <v>872</v>
      </c>
      <c r="B82" s="248" t="s">
        <v>955</v>
      </c>
      <c r="C82" s="249">
        <v>109.54609439000001</v>
      </c>
      <c r="D82" s="250">
        <f>C82*'[3]Base Costs'!$B$5</f>
        <v>109.54609439000001</v>
      </c>
      <c r="E82" s="250">
        <f t="shared" si="7"/>
        <v>14</v>
      </c>
      <c r="F82" s="250">
        <f t="shared" si="8"/>
        <v>3</v>
      </c>
      <c r="G82" s="250">
        <f t="shared" si="9"/>
        <v>1</v>
      </c>
      <c r="H82" s="251">
        <f>4*D82*'[3]Base Costs'!$B$7</f>
        <v>21771.628983446164</v>
      </c>
      <c r="I82" s="252">
        <f>4*IF(E82&lt;=3,E82*'[3]Base Costs'!$B$8,IF(F82&lt;=3,F82*'[3]Base Costs'!$B$9,'[3]Base Costs'!$B$10*G82))</f>
        <v>4200</v>
      </c>
      <c r="J82" s="253">
        <f>C82*'[3]Base Costs'!$B$6</f>
        <v>27.824707975060001</v>
      </c>
      <c r="K82" s="250">
        <f t="shared" si="10"/>
        <v>4</v>
      </c>
      <c r="L82" s="250">
        <f t="shared" si="11"/>
        <v>1</v>
      </c>
      <c r="M82" s="250">
        <f t="shared" si="12"/>
        <v>1</v>
      </c>
      <c r="N82" s="251">
        <f>4*J82*'[3]Base Costs'!$B$7</f>
        <v>5529.9937617953256</v>
      </c>
      <c r="O82" s="252">
        <f>4*IF(K82&lt;=3,K82*'[3]Base Costs'!$B$8,IF(L82&lt;=3,L82*'[3]Base Costs'!$B$9,'[3]Base Costs'!$B$10*M82))</f>
        <v>1400</v>
      </c>
      <c r="P82" s="252">
        <f>4*C82*'[3]Base Costs'!$B$11</f>
        <v>21909.218878</v>
      </c>
      <c r="Q82">
        <f>'[3]Base Costs'!$B$13+'[3]Base Costs'!$B$14</f>
        <v>414</v>
      </c>
      <c r="R82" s="239">
        <f>'[3]Base Costs'!$D$2</f>
        <v>1105.3024868650327</v>
      </c>
      <c r="S82" s="254">
        <f t="shared" si="13"/>
        <v>8449.2962486603574</v>
      </c>
    </row>
    <row r="83" spans="1:19" x14ac:dyDescent="0.25">
      <c r="A83" s="248" t="s">
        <v>872</v>
      </c>
      <c r="B83" s="248" t="s">
        <v>956</v>
      </c>
      <c r="C83" s="249">
        <v>26.985074626865668</v>
      </c>
      <c r="D83" s="250">
        <f>C83*'[3]Base Costs'!$B$5</f>
        <v>26.985074626865668</v>
      </c>
      <c r="E83" s="250">
        <f t="shared" si="7"/>
        <v>4</v>
      </c>
      <c r="F83" s="250">
        <f t="shared" si="8"/>
        <v>1</v>
      </c>
      <c r="G83" s="250">
        <f t="shared" si="9"/>
        <v>1</v>
      </c>
      <c r="H83" s="251">
        <f>4*D83*'[3]Base Costs'!$B$7</f>
        <v>5363.1216716417912</v>
      </c>
      <c r="I83" s="252">
        <f>4*IF(E83&lt;=3,E83*'[3]Base Costs'!$B$8,IF(F83&lt;=3,F83*'[3]Base Costs'!$B$9,'[3]Base Costs'!$B$10*G83))</f>
        <v>1400</v>
      </c>
      <c r="J83" s="253">
        <f>C83*'[3]Base Costs'!$B$6</f>
        <v>6.8542089552238794</v>
      </c>
      <c r="K83" s="250">
        <f t="shared" si="10"/>
        <v>1</v>
      </c>
      <c r="L83" s="250">
        <f t="shared" si="11"/>
        <v>1</v>
      </c>
      <c r="M83" s="250">
        <f t="shared" si="12"/>
        <v>1</v>
      </c>
      <c r="N83" s="251">
        <f>4*J83*'[3]Base Costs'!$B$7</f>
        <v>1362.2329045970148</v>
      </c>
      <c r="O83" s="252">
        <f>4*IF(K83&lt;=3,K83*'[3]Base Costs'!$B$8,IF(L83&lt;=3,L83*'[3]Base Costs'!$B$9,'[3]Base Costs'!$B$10*M83))</f>
        <v>500</v>
      </c>
      <c r="P83" s="252">
        <f>4*C83*'[3]Base Costs'!$B$11</f>
        <v>5397.0149253731333</v>
      </c>
      <c r="Q83">
        <f>'[3]Base Costs'!$B$13+'[3]Base Costs'!$B$14</f>
        <v>414</v>
      </c>
      <c r="R83" s="239">
        <f>'[3]Base Costs'!$D$2</f>
        <v>1105.3024868650327</v>
      </c>
      <c r="S83" s="254">
        <f t="shared" si="13"/>
        <v>3381.5353914620473</v>
      </c>
    </row>
    <row r="84" spans="1:19" x14ac:dyDescent="0.25">
      <c r="A84" s="248" t="s">
        <v>872</v>
      </c>
      <c r="B84" s="248" t="s">
        <v>957</v>
      </c>
      <c r="C84" s="249">
        <v>119.81325738502382</v>
      </c>
      <c r="D84" s="250">
        <f>C84*'[3]Base Costs'!$B$5</f>
        <v>119.81325738502382</v>
      </c>
      <c r="E84" s="250">
        <f t="shared" si="7"/>
        <v>15</v>
      </c>
      <c r="F84" s="250">
        <f t="shared" si="8"/>
        <v>3</v>
      </c>
      <c r="G84" s="250">
        <f t="shared" si="9"/>
        <v>1</v>
      </c>
      <c r="H84" s="251">
        <f>4*D84*'[3]Base Costs'!$B$7</f>
        <v>23812.166025729177</v>
      </c>
      <c r="I84" s="252">
        <f>4*IF(E84&lt;=3,E84*'[3]Base Costs'!$B$8,IF(F84&lt;=3,F84*'[3]Base Costs'!$B$9,'[3]Base Costs'!$B$10*G84))</f>
        <v>4200</v>
      </c>
      <c r="J84" s="253">
        <f>C84*'[3]Base Costs'!$B$6</f>
        <v>30.432567375796051</v>
      </c>
      <c r="K84" s="250">
        <f t="shared" si="10"/>
        <v>4</v>
      </c>
      <c r="L84" s="250">
        <f t="shared" si="11"/>
        <v>1</v>
      </c>
      <c r="M84" s="250">
        <f t="shared" si="12"/>
        <v>1</v>
      </c>
      <c r="N84" s="251">
        <f>4*J84*'[3]Base Costs'!$B$7</f>
        <v>6048.2901705352115</v>
      </c>
      <c r="O84" s="252">
        <f>4*IF(K84&lt;=3,K84*'[3]Base Costs'!$B$8,IF(L84&lt;=3,L84*'[3]Base Costs'!$B$9,'[3]Base Costs'!$B$10*M84))</f>
        <v>1400</v>
      </c>
      <c r="P84" s="252">
        <f>4*C84*'[3]Base Costs'!$B$11</f>
        <v>23962.651477004765</v>
      </c>
      <c r="Q84">
        <f>'[3]Base Costs'!$B$13+'[3]Base Costs'!$B$14</f>
        <v>414</v>
      </c>
      <c r="R84" s="239">
        <f>'[3]Base Costs'!$D$2</f>
        <v>1105.3024868650327</v>
      </c>
      <c r="S84" s="254">
        <f t="shared" si="13"/>
        <v>8967.5926574002442</v>
      </c>
    </row>
    <row r="85" spans="1:19" x14ac:dyDescent="0.25">
      <c r="A85" s="248" t="s">
        <v>872</v>
      </c>
      <c r="B85" s="248" t="s">
        <v>958</v>
      </c>
      <c r="C85" s="249">
        <v>202.8781516606937</v>
      </c>
      <c r="D85" s="250">
        <f>C85*'[3]Base Costs'!$B$5</f>
        <v>202.8781516606937</v>
      </c>
      <c r="E85" s="250">
        <f t="shared" si="7"/>
        <v>26</v>
      </c>
      <c r="F85" s="250">
        <f t="shared" si="8"/>
        <v>6</v>
      </c>
      <c r="G85" s="250">
        <f t="shared" si="9"/>
        <v>2</v>
      </c>
      <c r="H85" s="251">
        <f>4*D85*'[3]Base Costs'!$B$7</f>
        <v>40320.815373652913</v>
      </c>
      <c r="I85" s="252">
        <f>4*IF(E85&lt;=3,E85*'[3]Base Costs'!$B$8,IF(F85&lt;=3,F85*'[3]Base Costs'!$B$9,'[3]Base Costs'!$B$10*G85))</f>
        <v>8800</v>
      </c>
      <c r="J85" s="253">
        <f>C85*'[3]Base Costs'!$B$6</f>
        <v>51.531050521816198</v>
      </c>
      <c r="K85" s="250">
        <f t="shared" si="10"/>
        <v>7</v>
      </c>
      <c r="L85" s="250">
        <f t="shared" si="11"/>
        <v>2</v>
      </c>
      <c r="M85" s="250">
        <f t="shared" si="12"/>
        <v>1</v>
      </c>
      <c r="N85" s="251">
        <f>4*J85*'[3]Base Costs'!$B$7</f>
        <v>10241.487104907839</v>
      </c>
      <c r="O85" s="252">
        <f>4*IF(K85&lt;=3,K85*'[3]Base Costs'!$B$8,IF(L85&lt;=3,L85*'[3]Base Costs'!$B$9,'[3]Base Costs'!$B$10*M85))</f>
        <v>2800</v>
      </c>
      <c r="P85" s="252">
        <f>4*C85*'[3]Base Costs'!$B$11</f>
        <v>40575.630332138739</v>
      </c>
      <c r="Q85">
        <f>'[3]Base Costs'!$B$13+'[3]Base Costs'!$B$14</f>
        <v>414</v>
      </c>
      <c r="R85" s="239">
        <f>'[3]Base Costs'!$D$2</f>
        <v>1105.3024868650327</v>
      </c>
      <c r="S85" s="254">
        <f t="shared" si="13"/>
        <v>14560.789591772871</v>
      </c>
    </row>
    <row r="86" spans="1:19" x14ac:dyDescent="0.25">
      <c r="A86" s="248" t="s">
        <v>872</v>
      </c>
      <c r="B86" s="248" t="s">
        <v>959</v>
      </c>
      <c r="C86" s="249">
        <v>89.019733196824646</v>
      </c>
      <c r="D86" s="250">
        <f>C86*'[3]Base Costs'!$B$5</f>
        <v>89.019733196824646</v>
      </c>
      <c r="E86" s="250">
        <f t="shared" si="7"/>
        <v>12</v>
      </c>
      <c r="F86" s="250">
        <f t="shared" si="8"/>
        <v>3</v>
      </c>
      <c r="G86" s="250">
        <f t="shared" si="9"/>
        <v>1</v>
      </c>
      <c r="H86" s="251">
        <f>4*D86*'[3]Base Costs'!$B$7</f>
        <v>17692.137854469718</v>
      </c>
      <c r="I86" s="252">
        <f>4*IF(E86&lt;=3,E86*'[3]Base Costs'!$B$8,IF(F86&lt;=3,F86*'[3]Base Costs'!$B$9,'[3]Base Costs'!$B$10*G86))</f>
        <v>4200</v>
      </c>
      <c r="J86" s="253">
        <f>C86*'[3]Base Costs'!$B$6</f>
        <v>22.61101223199346</v>
      </c>
      <c r="K86" s="250">
        <f t="shared" si="10"/>
        <v>3</v>
      </c>
      <c r="L86" s="250">
        <f t="shared" si="11"/>
        <v>1</v>
      </c>
      <c r="M86" s="250">
        <f t="shared" si="12"/>
        <v>1</v>
      </c>
      <c r="N86" s="251">
        <f>4*J86*'[3]Base Costs'!$B$7</f>
        <v>4493.8030150353088</v>
      </c>
      <c r="O86" s="252">
        <f>4*IF(K86&lt;=3,K86*'[3]Base Costs'!$B$8,IF(L86&lt;=3,L86*'[3]Base Costs'!$B$9,'[3]Base Costs'!$B$10*M86))</f>
        <v>1500</v>
      </c>
      <c r="P86" s="252">
        <f>4*C86*'[3]Base Costs'!$B$11</f>
        <v>17803.946639364931</v>
      </c>
      <c r="Q86">
        <f>'[3]Base Costs'!$B$13+'[3]Base Costs'!$B$14</f>
        <v>414</v>
      </c>
      <c r="R86" s="239">
        <f>'[3]Base Costs'!$D$2</f>
        <v>1105.3024868650327</v>
      </c>
      <c r="S86" s="254">
        <f t="shared" si="13"/>
        <v>7513.1055019003416</v>
      </c>
    </row>
    <row r="87" spans="1:19" x14ac:dyDescent="0.25">
      <c r="A87" s="248" t="s">
        <v>872</v>
      </c>
      <c r="B87" s="248" t="s">
        <v>960</v>
      </c>
      <c r="C87" s="249">
        <v>113.65265503676936</v>
      </c>
      <c r="D87" s="250">
        <f>C87*'[3]Base Costs'!$B$5</f>
        <v>113.65265503676936</v>
      </c>
      <c r="E87" s="250">
        <f t="shared" si="7"/>
        <v>15</v>
      </c>
      <c r="F87" s="250">
        <f t="shared" si="8"/>
        <v>3</v>
      </c>
      <c r="G87" s="250">
        <f t="shared" si="9"/>
        <v>1</v>
      </c>
      <c r="H87" s="251">
        <f>4*D87*'[3]Base Costs'!$B$7</f>
        <v>22587.783272627694</v>
      </c>
      <c r="I87" s="252">
        <f>4*IF(E87&lt;=3,E87*'[3]Base Costs'!$B$8,IF(F87&lt;=3,F87*'[3]Base Costs'!$B$9,'[3]Base Costs'!$B$10*G87))</f>
        <v>4200</v>
      </c>
      <c r="J87" s="253">
        <f>C87*'[3]Base Costs'!$B$6</f>
        <v>28.867774379339419</v>
      </c>
      <c r="K87" s="250">
        <f t="shared" si="10"/>
        <v>4</v>
      </c>
      <c r="L87" s="250">
        <f t="shared" si="11"/>
        <v>1</v>
      </c>
      <c r="M87" s="250">
        <f t="shared" si="12"/>
        <v>1</v>
      </c>
      <c r="N87" s="251">
        <f>4*J87*'[3]Base Costs'!$B$7</f>
        <v>5737.2969512474347</v>
      </c>
      <c r="O87" s="252">
        <f>4*IF(K87&lt;=3,K87*'[3]Base Costs'!$B$8,IF(L87&lt;=3,L87*'[3]Base Costs'!$B$9,'[3]Base Costs'!$B$10*M87))</f>
        <v>1400</v>
      </c>
      <c r="P87" s="252">
        <f>4*C87*'[3]Base Costs'!$B$11</f>
        <v>22730.531007353871</v>
      </c>
      <c r="Q87">
        <f>'[3]Base Costs'!$B$13+'[3]Base Costs'!$B$14</f>
        <v>414</v>
      </c>
      <c r="R87" s="239">
        <f>'[3]Base Costs'!$D$2</f>
        <v>1105.3024868650327</v>
      </c>
      <c r="S87" s="254">
        <f t="shared" si="13"/>
        <v>8656.5994381124674</v>
      </c>
    </row>
    <row r="88" spans="1:19" x14ac:dyDescent="0.25">
      <c r="A88" s="248" t="s">
        <v>872</v>
      </c>
      <c r="B88" s="248" t="s">
        <v>961</v>
      </c>
      <c r="C88" s="249">
        <v>199.61294302262849</v>
      </c>
      <c r="D88" s="250">
        <f>C88*'[3]Base Costs'!$B$5</f>
        <v>199.61294302262849</v>
      </c>
      <c r="E88" s="250">
        <f t="shared" si="7"/>
        <v>25</v>
      </c>
      <c r="F88" s="250">
        <f t="shared" si="8"/>
        <v>5</v>
      </c>
      <c r="G88" s="250">
        <f t="shared" si="9"/>
        <v>2</v>
      </c>
      <c r="H88" s="251">
        <f>4*D88*'[3]Base Costs'!$B$7</f>
        <v>39671.874748089278</v>
      </c>
      <c r="I88" s="252">
        <f>4*IF(E88&lt;=3,E88*'[3]Base Costs'!$B$8,IF(F88&lt;=3,F88*'[3]Base Costs'!$B$9,'[3]Base Costs'!$B$10*G88))</f>
        <v>8800</v>
      </c>
      <c r="J88" s="253">
        <f>C88*'[3]Base Costs'!$B$6</f>
        <v>50.701687527747637</v>
      </c>
      <c r="K88" s="250">
        <f t="shared" si="10"/>
        <v>7</v>
      </c>
      <c r="L88" s="250">
        <f t="shared" si="11"/>
        <v>2</v>
      </c>
      <c r="M88" s="250">
        <f t="shared" si="12"/>
        <v>1</v>
      </c>
      <c r="N88" s="251">
        <f>4*J88*'[3]Base Costs'!$B$7</f>
        <v>10076.656186014678</v>
      </c>
      <c r="O88" s="252">
        <f>4*IF(K88&lt;=3,K88*'[3]Base Costs'!$B$8,IF(L88&lt;=3,L88*'[3]Base Costs'!$B$9,'[3]Base Costs'!$B$10*M88))</f>
        <v>2800</v>
      </c>
      <c r="P88" s="252">
        <f>4*C88*'[3]Base Costs'!$B$11</f>
        <v>39922.588604525699</v>
      </c>
      <c r="Q88">
        <f>'[3]Base Costs'!$B$13+'[3]Base Costs'!$B$14</f>
        <v>414</v>
      </c>
      <c r="R88" s="239">
        <f>'[3]Base Costs'!$D$2</f>
        <v>1105.3024868650327</v>
      </c>
      <c r="S88" s="254">
        <f t="shared" si="13"/>
        <v>14395.958672879711</v>
      </c>
    </row>
    <row r="89" spans="1:19" x14ac:dyDescent="0.25">
      <c r="A89" s="248" t="s">
        <v>872</v>
      </c>
      <c r="B89" s="248" t="s">
        <v>962</v>
      </c>
      <c r="C89" s="249">
        <v>181.30770959396034</v>
      </c>
      <c r="D89" s="250">
        <f>C89*'[3]Base Costs'!$B$5</f>
        <v>181.30770959396034</v>
      </c>
      <c r="E89" s="250">
        <f t="shared" si="7"/>
        <v>23</v>
      </c>
      <c r="F89" s="250">
        <f t="shared" si="8"/>
        <v>5</v>
      </c>
      <c r="G89" s="250">
        <f t="shared" si="9"/>
        <v>2</v>
      </c>
      <c r="H89" s="251">
        <f>4*D89*'[3]Base Costs'!$B$7</f>
        <v>36033.819435542056</v>
      </c>
      <c r="I89" s="252">
        <f>4*IF(E89&lt;=3,E89*'[3]Base Costs'!$B$8,IF(F89&lt;=3,F89*'[3]Base Costs'!$B$9,'[3]Base Costs'!$B$10*G89))</f>
        <v>8800</v>
      </c>
      <c r="J89" s="253">
        <f>C89*'[3]Base Costs'!$B$6</f>
        <v>46.052158236865928</v>
      </c>
      <c r="K89" s="250">
        <f t="shared" si="10"/>
        <v>6</v>
      </c>
      <c r="L89" s="250">
        <f t="shared" si="11"/>
        <v>2</v>
      </c>
      <c r="M89" s="250">
        <f t="shared" si="12"/>
        <v>1</v>
      </c>
      <c r="N89" s="251">
        <f>4*J89*'[3]Base Costs'!$B$7</f>
        <v>9152.590136627683</v>
      </c>
      <c r="O89" s="252">
        <f>4*IF(K89&lt;=3,K89*'[3]Base Costs'!$B$8,IF(L89&lt;=3,L89*'[3]Base Costs'!$B$9,'[3]Base Costs'!$B$10*M89))</f>
        <v>2800</v>
      </c>
      <c r="P89" s="252">
        <f>4*C89*'[3]Base Costs'!$B$11</f>
        <v>36261.541918792071</v>
      </c>
      <c r="Q89">
        <f>'[3]Base Costs'!$B$13+'[3]Base Costs'!$B$14</f>
        <v>414</v>
      </c>
      <c r="R89" s="239">
        <f>'[3]Base Costs'!$D$2</f>
        <v>1105.3024868650327</v>
      </c>
      <c r="S89" s="254">
        <f t="shared" si="13"/>
        <v>13471.892623492717</v>
      </c>
    </row>
    <row r="90" spans="1:19" x14ac:dyDescent="0.25">
      <c r="A90" s="248" t="s">
        <v>872</v>
      </c>
      <c r="B90" s="248" t="s">
        <v>963</v>
      </c>
      <c r="C90" s="249">
        <v>105.08594276661904</v>
      </c>
      <c r="D90" s="250">
        <f>C90*'[3]Base Costs'!$B$5</f>
        <v>105.08594276661904</v>
      </c>
      <c r="E90" s="250">
        <f t="shared" si="7"/>
        <v>14</v>
      </c>
      <c r="F90" s="250">
        <f t="shared" si="8"/>
        <v>3</v>
      </c>
      <c r="G90" s="250">
        <f t="shared" si="9"/>
        <v>1</v>
      </c>
      <c r="H90" s="251">
        <f>4*D90*'[3]Base Costs'!$B$7</f>
        <v>20885.200609208936</v>
      </c>
      <c r="I90" s="252">
        <f>4*IF(E90&lt;=3,E90*'[3]Base Costs'!$B$8,IF(F90&lt;=3,F90*'[3]Base Costs'!$B$9,'[3]Base Costs'!$B$10*G90))</f>
        <v>4200</v>
      </c>
      <c r="J90" s="253">
        <f>C90*'[3]Base Costs'!$B$6</f>
        <v>26.691829462721238</v>
      </c>
      <c r="K90" s="250">
        <f t="shared" si="10"/>
        <v>4</v>
      </c>
      <c r="L90" s="250">
        <f t="shared" si="11"/>
        <v>1</v>
      </c>
      <c r="M90" s="250">
        <f t="shared" si="12"/>
        <v>1</v>
      </c>
      <c r="N90" s="251">
        <f>4*J90*'[3]Base Costs'!$B$7</f>
        <v>5304.8409547390702</v>
      </c>
      <c r="O90" s="252">
        <f>4*IF(K90&lt;=3,K90*'[3]Base Costs'!$B$8,IF(L90&lt;=3,L90*'[3]Base Costs'!$B$9,'[3]Base Costs'!$B$10*M90))</f>
        <v>1400</v>
      </c>
      <c r="P90" s="252">
        <f>4*C90*'[3]Base Costs'!$B$11</f>
        <v>21017.188553323809</v>
      </c>
      <c r="Q90">
        <f>'[3]Base Costs'!$B$13+'[3]Base Costs'!$B$14</f>
        <v>414</v>
      </c>
      <c r="R90" s="239">
        <f>'[3]Base Costs'!$D$2</f>
        <v>1105.3024868650327</v>
      </c>
      <c r="S90" s="254">
        <f t="shared" si="13"/>
        <v>8224.1434416041029</v>
      </c>
    </row>
    <row r="91" spans="1:19" x14ac:dyDescent="0.25">
      <c r="A91" s="248" t="s">
        <v>872</v>
      </c>
      <c r="B91" s="248" t="s">
        <v>964</v>
      </c>
      <c r="C91" s="249">
        <v>4.9230769230769234</v>
      </c>
      <c r="D91" s="250">
        <f>C91*'[3]Base Costs'!$B$5</f>
        <v>4.9230769230769234</v>
      </c>
      <c r="E91" s="250">
        <f t="shared" si="7"/>
        <v>1</v>
      </c>
      <c r="F91" s="250">
        <f t="shared" si="8"/>
        <v>1</v>
      </c>
      <c r="G91" s="250">
        <f t="shared" si="9"/>
        <v>1</v>
      </c>
      <c r="H91" s="251">
        <f>4*D91*'[3]Base Costs'!$B$7</f>
        <v>978.43200000000024</v>
      </c>
      <c r="I91" s="252">
        <f>4*IF(E91&lt;=3,E91*'[3]Base Costs'!$B$8,IF(F91&lt;=3,F91*'[3]Base Costs'!$B$9,'[3]Base Costs'!$B$10*G91))</f>
        <v>500</v>
      </c>
      <c r="J91" s="253">
        <f>C91*'[3]Base Costs'!$B$6</f>
        <v>1.2504615384615385</v>
      </c>
      <c r="K91" s="250">
        <f t="shared" si="10"/>
        <v>1</v>
      </c>
      <c r="L91" s="250">
        <f t="shared" si="11"/>
        <v>1</v>
      </c>
      <c r="M91" s="250">
        <f t="shared" si="12"/>
        <v>1</v>
      </c>
      <c r="N91" s="251">
        <f>4*J91*'[3]Base Costs'!$B$7</f>
        <v>248.52172800000005</v>
      </c>
      <c r="O91" s="252">
        <f>4*IF(K91&lt;=3,K91*'[3]Base Costs'!$B$8,IF(L91&lt;=3,L91*'[3]Base Costs'!$B$9,'[3]Base Costs'!$B$10*M91))</f>
        <v>500</v>
      </c>
      <c r="P91" s="252">
        <f>4*C91*'[3]Base Costs'!$B$11</f>
        <v>984.61538461538464</v>
      </c>
      <c r="Q91">
        <f>'[3]Base Costs'!$B$13+'[3]Base Costs'!$B$14</f>
        <v>414</v>
      </c>
      <c r="R91" s="239">
        <f>'[3]Base Costs'!$D$2</f>
        <v>1105.3024868650327</v>
      </c>
      <c r="S91" s="254">
        <f t="shared" si="13"/>
        <v>2267.8242148650329</v>
      </c>
    </row>
    <row r="92" spans="1:19" x14ac:dyDescent="0.25">
      <c r="A92" s="248" t="s">
        <v>872</v>
      </c>
      <c r="B92" s="248" t="s">
        <v>965</v>
      </c>
      <c r="C92" s="249">
        <v>219.71742137532286</v>
      </c>
      <c r="D92" s="250">
        <f>C92*'[3]Base Costs'!$B$5</f>
        <v>219.71742137532286</v>
      </c>
      <c r="E92" s="250">
        <f t="shared" si="7"/>
        <v>28</v>
      </c>
      <c r="F92" s="250">
        <f t="shared" si="8"/>
        <v>6</v>
      </c>
      <c r="G92" s="250">
        <f t="shared" si="9"/>
        <v>2</v>
      </c>
      <c r="H92" s="251">
        <f>4*D92*'[3]Base Costs'!$B$7</f>
        <v>43667.51919381717</v>
      </c>
      <c r="I92" s="252">
        <f>4*IF(E92&lt;=3,E92*'[3]Base Costs'!$B$8,IF(F92&lt;=3,F92*'[3]Base Costs'!$B$9,'[3]Base Costs'!$B$10*G92))</f>
        <v>8800</v>
      </c>
      <c r="J92" s="253">
        <f>C92*'[3]Base Costs'!$B$6</f>
        <v>55.808225029332007</v>
      </c>
      <c r="K92" s="250">
        <f t="shared" si="10"/>
        <v>7</v>
      </c>
      <c r="L92" s="250">
        <f t="shared" si="11"/>
        <v>2</v>
      </c>
      <c r="M92" s="250">
        <f t="shared" si="12"/>
        <v>1</v>
      </c>
      <c r="N92" s="251">
        <f>4*J92*'[3]Base Costs'!$B$7</f>
        <v>11091.549875229563</v>
      </c>
      <c r="O92" s="252">
        <f>4*IF(K92&lt;=3,K92*'[3]Base Costs'!$B$8,IF(L92&lt;=3,L92*'[3]Base Costs'!$B$9,'[3]Base Costs'!$B$10*M92))</f>
        <v>2800</v>
      </c>
      <c r="P92" s="252">
        <f>4*C92*'[3]Base Costs'!$B$11</f>
        <v>43943.484275064569</v>
      </c>
      <c r="Q92">
        <f>'[3]Base Costs'!$B$13+'[3]Base Costs'!$B$14</f>
        <v>414</v>
      </c>
      <c r="R92" s="239">
        <f>'[3]Base Costs'!$D$2</f>
        <v>1105.3024868650327</v>
      </c>
      <c r="S92" s="254">
        <f t="shared" si="13"/>
        <v>15410.852362094596</v>
      </c>
    </row>
    <row r="93" spans="1:19" x14ac:dyDescent="0.25">
      <c r="A93" s="248" t="s">
        <v>872</v>
      </c>
      <c r="B93" s="248" t="s">
        <v>966</v>
      </c>
      <c r="C93" s="249">
        <v>141.83346825488971</v>
      </c>
      <c r="D93" s="250">
        <f>C93*'[3]Base Costs'!$B$5</f>
        <v>141.83346825488971</v>
      </c>
      <c r="E93" s="250">
        <f t="shared" si="7"/>
        <v>18</v>
      </c>
      <c r="F93" s="250">
        <f t="shared" si="8"/>
        <v>4</v>
      </c>
      <c r="G93" s="250">
        <f t="shared" si="9"/>
        <v>1</v>
      </c>
      <c r="H93" s="251">
        <f>4*D93*'[3]Base Costs'!$B$7</f>
        <v>28188.550814849805</v>
      </c>
      <c r="I93" s="252">
        <f>4*IF(E93&lt;=3,E93*'[3]Base Costs'!$B$8,IF(F93&lt;=3,F93*'[3]Base Costs'!$B$9,'[3]Base Costs'!$B$10*G93))</f>
        <v>4400</v>
      </c>
      <c r="J93" s="253">
        <f>C93*'[3]Base Costs'!$B$6</f>
        <v>36.025700936741984</v>
      </c>
      <c r="K93" s="250">
        <f t="shared" si="10"/>
        <v>5</v>
      </c>
      <c r="L93" s="250">
        <f t="shared" si="11"/>
        <v>1</v>
      </c>
      <c r="M93" s="250">
        <f t="shared" si="12"/>
        <v>1</v>
      </c>
      <c r="N93" s="251">
        <f>4*J93*'[3]Base Costs'!$B$7</f>
        <v>7159.8919069718495</v>
      </c>
      <c r="O93" s="252">
        <f>4*IF(K93&lt;=3,K93*'[3]Base Costs'!$B$8,IF(L93&lt;=3,L93*'[3]Base Costs'!$B$9,'[3]Base Costs'!$B$10*M93))</f>
        <v>1400</v>
      </c>
      <c r="P93" s="252">
        <f>4*C93*'[3]Base Costs'!$B$11</f>
        <v>28366.693650977941</v>
      </c>
      <c r="Q93">
        <f>'[3]Base Costs'!$B$13+'[3]Base Costs'!$B$14</f>
        <v>414</v>
      </c>
      <c r="R93" s="239">
        <f>'[3]Base Costs'!$D$2</f>
        <v>1105.3024868650327</v>
      </c>
      <c r="S93" s="254">
        <f t="shared" si="13"/>
        <v>10079.194393836882</v>
      </c>
    </row>
    <row r="94" spans="1:19" x14ac:dyDescent="0.25">
      <c r="A94" s="248" t="s">
        <v>872</v>
      </c>
      <c r="B94" s="248" t="s">
        <v>967</v>
      </c>
      <c r="C94" s="249">
        <v>116.19996586589677</v>
      </c>
      <c r="D94" s="250">
        <f>C94*'[3]Base Costs'!$B$5</f>
        <v>116.19996586589677</v>
      </c>
      <c r="E94" s="250">
        <f t="shared" si="7"/>
        <v>15</v>
      </c>
      <c r="F94" s="250">
        <f t="shared" si="8"/>
        <v>3</v>
      </c>
      <c r="G94" s="250">
        <f t="shared" si="9"/>
        <v>1</v>
      </c>
      <c r="H94" s="251">
        <f>4*D94*'[3]Base Costs'!$B$7</f>
        <v>23094.046016051791</v>
      </c>
      <c r="I94" s="252">
        <f>4*IF(E94&lt;=3,E94*'[3]Base Costs'!$B$8,IF(F94&lt;=3,F94*'[3]Base Costs'!$B$9,'[3]Base Costs'!$B$10*G94))</f>
        <v>4200</v>
      </c>
      <c r="J94" s="253">
        <f>C94*'[3]Base Costs'!$B$6</f>
        <v>29.514791329937779</v>
      </c>
      <c r="K94" s="250">
        <f t="shared" si="10"/>
        <v>4</v>
      </c>
      <c r="L94" s="250">
        <f t="shared" si="11"/>
        <v>1</v>
      </c>
      <c r="M94" s="250">
        <f t="shared" si="12"/>
        <v>1</v>
      </c>
      <c r="N94" s="251">
        <f>4*J94*'[3]Base Costs'!$B$7</f>
        <v>5865.887688077155</v>
      </c>
      <c r="O94" s="252">
        <f>4*IF(K94&lt;=3,K94*'[3]Base Costs'!$B$8,IF(L94&lt;=3,L94*'[3]Base Costs'!$B$9,'[3]Base Costs'!$B$10*M94))</f>
        <v>1400</v>
      </c>
      <c r="P94" s="252">
        <f>4*C94*'[3]Base Costs'!$B$11</f>
        <v>23239.993173179355</v>
      </c>
      <c r="Q94">
        <f>'[3]Base Costs'!$B$13+'[3]Base Costs'!$B$14</f>
        <v>414</v>
      </c>
      <c r="R94" s="239">
        <f>'[3]Base Costs'!$D$2</f>
        <v>1105.3024868650327</v>
      </c>
      <c r="S94" s="254">
        <f t="shared" si="13"/>
        <v>8785.1901749421886</v>
      </c>
    </row>
    <row r="95" spans="1:19" x14ac:dyDescent="0.25">
      <c r="A95" s="248" t="s">
        <v>872</v>
      </c>
      <c r="B95" s="248" t="s">
        <v>968</v>
      </c>
      <c r="C95" s="249">
        <v>67.422293480204232</v>
      </c>
      <c r="D95" s="250">
        <f>C95*'[3]Base Costs'!$B$5</f>
        <v>67.422293480204232</v>
      </c>
      <c r="E95" s="250">
        <f t="shared" si="7"/>
        <v>9</v>
      </c>
      <c r="F95" s="250">
        <f t="shared" si="8"/>
        <v>2</v>
      </c>
      <c r="G95" s="250">
        <f t="shared" si="9"/>
        <v>1</v>
      </c>
      <c r="H95" s="251">
        <f>4*D95*'[3]Base Costs'!$B$7</f>
        <v>13399.776295429712</v>
      </c>
      <c r="I95" s="252">
        <f>4*IF(E95&lt;=3,E95*'[3]Base Costs'!$B$8,IF(F95&lt;=3,F95*'[3]Base Costs'!$B$9,'[3]Base Costs'!$B$10*G95))</f>
        <v>2800</v>
      </c>
      <c r="J95" s="253">
        <f>C95*'[3]Base Costs'!$B$6</f>
        <v>17.125262543971875</v>
      </c>
      <c r="K95" s="250">
        <f t="shared" si="10"/>
        <v>3</v>
      </c>
      <c r="L95" s="250">
        <f t="shared" si="11"/>
        <v>1</v>
      </c>
      <c r="M95" s="250">
        <f t="shared" si="12"/>
        <v>1</v>
      </c>
      <c r="N95" s="251">
        <f>4*J95*'[3]Base Costs'!$B$7</f>
        <v>3403.5431790391467</v>
      </c>
      <c r="O95" s="252">
        <f>4*IF(K95&lt;=3,K95*'[3]Base Costs'!$B$8,IF(L95&lt;=3,L95*'[3]Base Costs'!$B$9,'[3]Base Costs'!$B$10*M95))</f>
        <v>1500</v>
      </c>
      <c r="P95" s="252">
        <f>4*C95*'[3]Base Costs'!$B$11</f>
        <v>13484.458696040847</v>
      </c>
      <c r="Q95">
        <f>'[3]Base Costs'!$B$13+'[3]Base Costs'!$B$14</f>
        <v>414</v>
      </c>
      <c r="R95" s="239">
        <f>'[3]Base Costs'!$D$2</f>
        <v>1105.3024868650327</v>
      </c>
      <c r="S95" s="254">
        <f t="shared" si="13"/>
        <v>6422.8456659041794</v>
      </c>
    </row>
    <row r="96" spans="1:19" x14ac:dyDescent="0.25">
      <c r="A96" s="248" t="s">
        <v>872</v>
      </c>
      <c r="B96" s="248" t="s">
        <v>969</v>
      </c>
      <c r="C96" s="249">
        <v>123.22471910112358</v>
      </c>
      <c r="D96" s="250">
        <f>C96*'[3]Base Costs'!$B$5</f>
        <v>123.22471910112358</v>
      </c>
      <c r="E96" s="250">
        <f t="shared" si="7"/>
        <v>16</v>
      </c>
      <c r="F96" s="250">
        <f t="shared" si="8"/>
        <v>4</v>
      </c>
      <c r="G96" s="250">
        <f t="shared" si="9"/>
        <v>1</v>
      </c>
      <c r="H96" s="251">
        <f>4*D96*'[3]Base Costs'!$B$7</f>
        <v>24490.17357303371</v>
      </c>
      <c r="I96" s="252">
        <f>4*IF(E96&lt;=3,E96*'[3]Base Costs'!$B$8,IF(F96&lt;=3,F96*'[3]Base Costs'!$B$9,'[3]Base Costs'!$B$10*G96))</f>
        <v>4400</v>
      </c>
      <c r="J96" s="253">
        <f>C96*'[3]Base Costs'!$B$6</f>
        <v>31.299078651685392</v>
      </c>
      <c r="K96" s="250">
        <f t="shared" si="10"/>
        <v>4</v>
      </c>
      <c r="L96" s="250">
        <f t="shared" si="11"/>
        <v>1</v>
      </c>
      <c r="M96" s="250">
        <f t="shared" si="12"/>
        <v>1</v>
      </c>
      <c r="N96" s="251">
        <f>4*J96*'[3]Base Costs'!$B$7</f>
        <v>6220.504087550562</v>
      </c>
      <c r="O96" s="252">
        <f>4*IF(K96&lt;=3,K96*'[3]Base Costs'!$B$8,IF(L96&lt;=3,L96*'[3]Base Costs'!$B$9,'[3]Base Costs'!$B$10*M96))</f>
        <v>1400</v>
      </c>
      <c r="P96" s="252">
        <f>4*C96*'[3]Base Costs'!$B$11</f>
        <v>24644.943820224718</v>
      </c>
      <c r="Q96">
        <f>'[3]Base Costs'!$B$13+'[3]Base Costs'!$B$14</f>
        <v>414</v>
      </c>
      <c r="R96" s="239">
        <f>'[3]Base Costs'!$D$2</f>
        <v>1105.3024868650327</v>
      </c>
      <c r="S96" s="254">
        <f t="shared" si="13"/>
        <v>9139.8065744155938</v>
      </c>
    </row>
    <row r="97" spans="1:19" x14ac:dyDescent="0.25">
      <c r="A97" s="248" t="s">
        <v>872</v>
      </c>
      <c r="B97" s="248" t="s">
        <v>970</v>
      </c>
      <c r="C97" s="249">
        <v>605.396613481803</v>
      </c>
      <c r="D97" s="250">
        <f>C97*'[3]Base Costs'!$B$5</f>
        <v>605.396613481803</v>
      </c>
      <c r="E97" s="250">
        <f t="shared" si="7"/>
        <v>76</v>
      </c>
      <c r="F97" s="250">
        <f t="shared" si="8"/>
        <v>16</v>
      </c>
      <c r="G97" s="250">
        <f t="shared" si="9"/>
        <v>4</v>
      </c>
      <c r="H97" s="251">
        <f>4*D97*'[3]Base Costs'!$B$7</f>
        <v>120318.94454982747</v>
      </c>
      <c r="I97" s="252">
        <f>4*IF(E97&lt;=3,E97*'[3]Base Costs'!$B$8,IF(F97&lt;=3,F97*'[3]Base Costs'!$B$9,'[3]Base Costs'!$B$10*G97))</f>
        <v>17600</v>
      </c>
      <c r="J97" s="253">
        <f>C97*'[3]Base Costs'!$B$6</f>
        <v>153.77073982437796</v>
      </c>
      <c r="K97" s="250">
        <f t="shared" si="10"/>
        <v>20</v>
      </c>
      <c r="L97" s="250">
        <f t="shared" si="11"/>
        <v>4</v>
      </c>
      <c r="M97" s="250">
        <f t="shared" si="12"/>
        <v>1</v>
      </c>
      <c r="N97" s="251">
        <f>4*J97*'[3]Base Costs'!$B$7</f>
        <v>30561.011915656178</v>
      </c>
      <c r="O97" s="252">
        <f>4*IF(K97&lt;=3,K97*'[3]Base Costs'!$B$8,IF(L97&lt;=3,L97*'[3]Base Costs'!$B$9,'[3]Base Costs'!$B$10*M97))</f>
        <v>4400</v>
      </c>
      <c r="P97" s="252">
        <f>4*C97*'[3]Base Costs'!$B$11</f>
        <v>121079.3226963606</v>
      </c>
      <c r="Q97">
        <f>'[3]Base Costs'!$B$13+'[3]Base Costs'!$B$14</f>
        <v>414</v>
      </c>
      <c r="R97" s="239">
        <f>'[3]Base Costs'!$D$2</f>
        <v>1105.3024868650327</v>
      </c>
      <c r="S97" s="254">
        <f t="shared" si="13"/>
        <v>36480.31440252121</v>
      </c>
    </row>
    <row r="98" spans="1:19" x14ac:dyDescent="0.25">
      <c r="A98" s="248" t="s">
        <v>872</v>
      </c>
      <c r="B98" s="248" t="s">
        <v>971</v>
      </c>
      <c r="C98" s="249">
        <v>106.34605791541327</v>
      </c>
      <c r="D98" s="250">
        <f>C98*'[3]Base Costs'!$B$5</f>
        <v>106.34605791541327</v>
      </c>
      <c r="E98" s="250">
        <f t="shared" si="7"/>
        <v>14</v>
      </c>
      <c r="F98" s="250">
        <f t="shared" si="8"/>
        <v>3</v>
      </c>
      <c r="G98" s="250">
        <f t="shared" si="9"/>
        <v>1</v>
      </c>
      <c r="H98" s="251">
        <f>4*D98*'[3]Base Costs'!$B$7</f>
        <v>21135.640934340896</v>
      </c>
      <c r="I98" s="252">
        <f>4*IF(E98&lt;=3,E98*'[3]Base Costs'!$B$8,IF(F98&lt;=3,F98*'[3]Base Costs'!$B$9,'[3]Base Costs'!$B$10*G98))</f>
        <v>4200</v>
      </c>
      <c r="J98" s="253">
        <f>C98*'[3]Base Costs'!$B$6</f>
        <v>27.01189871051497</v>
      </c>
      <c r="K98" s="250">
        <f t="shared" si="10"/>
        <v>4</v>
      </c>
      <c r="L98" s="250">
        <f t="shared" si="11"/>
        <v>1</v>
      </c>
      <c r="M98" s="250">
        <f t="shared" si="12"/>
        <v>1</v>
      </c>
      <c r="N98" s="251">
        <f>4*J98*'[3]Base Costs'!$B$7</f>
        <v>5368.4527973225877</v>
      </c>
      <c r="O98" s="252">
        <f>4*IF(K98&lt;=3,K98*'[3]Base Costs'!$B$8,IF(L98&lt;=3,L98*'[3]Base Costs'!$B$9,'[3]Base Costs'!$B$10*M98))</f>
        <v>1400</v>
      </c>
      <c r="P98" s="252">
        <f>4*C98*'[3]Base Costs'!$B$11</f>
        <v>21269.211583082655</v>
      </c>
      <c r="Q98">
        <f>'[3]Base Costs'!$B$13+'[3]Base Costs'!$B$14</f>
        <v>414</v>
      </c>
      <c r="R98" s="239">
        <f>'[3]Base Costs'!$D$2</f>
        <v>1105.3024868650327</v>
      </c>
      <c r="S98" s="254">
        <f t="shared" si="13"/>
        <v>8287.7552841876204</v>
      </c>
    </row>
    <row r="99" spans="1:19" x14ac:dyDescent="0.25">
      <c r="A99" s="248" t="s">
        <v>872</v>
      </c>
      <c r="B99" s="248" t="s">
        <v>972</v>
      </c>
      <c r="C99" s="249">
        <v>73.275640029853861</v>
      </c>
      <c r="D99" s="250">
        <f>C99*'[3]Base Costs'!$B$5</f>
        <v>73.275640029853861</v>
      </c>
      <c r="E99" s="250">
        <f t="shared" si="7"/>
        <v>10</v>
      </c>
      <c r="F99" s="250">
        <f t="shared" si="8"/>
        <v>2</v>
      </c>
      <c r="G99" s="250">
        <f t="shared" si="9"/>
        <v>1</v>
      </c>
      <c r="H99" s="251">
        <f>4*D99*'[3]Base Costs'!$B$7</f>
        <v>14563.093802093277</v>
      </c>
      <c r="I99" s="252">
        <f>4*IF(E99&lt;=3,E99*'[3]Base Costs'!$B$8,IF(F99&lt;=3,F99*'[3]Base Costs'!$B$9,'[3]Base Costs'!$B$10*G99))</f>
        <v>2800</v>
      </c>
      <c r="J99" s="253">
        <f>C99*'[3]Base Costs'!$B$6</f>
        <v>18.61201256758288</v>
      </c>
      <c r="K99" s="250">
        <f t="shared" si="10"/>
        <v>3</v>
      </c>
      <c r="L99" s="250">
        <f t="shared" si="11"/>
        <v>1</v>
      </c>
      <c r="M99" s="250">
        <f t="shared" si="12"/>
        <v>1</v>
      </c>
      <c r="N99" s="251">
        <f>4*J99*'[3]Base Costs'!$B$7</f>
        <v>3699.0258257316923</v>
      </c>
      <c r="O99" s="252">
        <f>4*IF(K99&lt;=3,K99*'[3]Base Costs'!$B$8,IF(L99&lt;=3,L99*'[3]Base Costs'!$B$9,'[3]Base Costs'!$B$10*M99))</f>
        <v>1500</v>
      </c>
      <c r="P99" s="252">
        <f>4*C99*'[3]Base Costs'!$B$11</f>
        <v>14655.128005970771</v>
      </c>
      <c r="Q99">
        <f>'[3]Base Costs'!$B$13+'[3]Base Costs'!$B$14</f>
        <v>414</v>
      </c>
      <c r="R99" s="239">
        <f>'[3]Base Costs'!$D$2</f>
        <v>1105.3024868650327</v>
      </c>
      <c r="S99" s="254">
        <f t="shared" si="13"/>
        <v>6718.3283125967246</v>
      </c>
    </row>
    <row r="100" spans="1:19" x14ac:dyDescent="0.25">
      <c r="A100" s="248" t="s">
        <v>872</v>
      </c>
      <c r="B100" s="248" t="s">
        <v>973</v>
      </c>
      <c r="C100" s="249">
        <v>122.47774000000001</v>
      </c>
      <c r="D100" s="250">
        <f>C100*'[3]Base Costs'!$B$5</f>
        <v>122.47774000000001</v>
      </c>
      <c r="E100" s="250">
        <f t="shared" si="7"/>
        <v>16</v>
      </c>
      <c r="F100" s="250">
        <f t="shared" si="8"/>
        <v>4</v>
      </c>
      <c r="G100" s="250">
        <f t="shared" si="9"/>
        <v>1</v>
      </c>
      <c r="H100" s="251">
        <f>4*D100*'[3]Base Costs'!$B$7</f>
        <v>24341.715958560006</v>
      </c>
      <c r="I100" s="252">
        <f>4*IF(E100&lt;=3,E100*'[3]Base Costs'!$B$8,IF(F100&lt;=3,F100*'[3]Base Costs'!$B$9,'[3]Base Costs'!$B$10*G100))</f>
        <v>4400</v>
      </c>
      <c r="J100" s="253">
        <f>C100*'[3]Base Costs'!$B$6</f>
        <v>31.109345960000002</v>
      </c>
      <c r="K100" s="250">
        <f t="shared" si="10"/>
        <v>4</v>
      </c>
      <c r="L100" s="250">
        <f t="shared" si="11"/>
        <v>1</v>
      </c>
      <c r="M100" s="250">
        <f t="shared" si="12"/>
        <v>1</v>
      </c>
      <c r="N100" s="251">
        <f>4*J100*'[3]Base Costs'!$B$7</f>
        <v>6182.7958534742411</v>
      </c>
      <c r="O100" s="252">
        <f>4*IF(K100&lt;=3,K100*'[3]Base Costs'!$B$8,IF(L100&lt;=3,L100*'[3]Base Costs'!$B$9,'[3]Base Costs'!$B$10*M100))</f>
        <v>1400</v>
      </c>
      <c r="P100" s="252">
        <f>4*C100*'[3]Base Costs'!$B$11</f>
        <v>24495.548000000003</v>
      </c>
      <c r="Q100">
        <f>'[3]Base Costs'!$B$13+'[3]Base Costs'!$B$14</f>
        <v>414</v>
      </c>
      <c r="R100" s="239">
        <f>'[3]Base Costs'!$D$2</f>
        <v>1105.3024868650327</v>
      </c>
      <c r="S100" s="254">
        <f t="shared" si="13"/>
        <v>9102.0983403392747</v>
      </c>
    </row>
    <row r="101" spans="1:19" x14ac:dyDescent="0.25">
      <c r="A101" s="248" t="s">
        <v>872</v>
      </c>
      <c r="B101" s="248" t="s">
        <v>974</v>
      </c>
      <c r="C101" s="249">
        <v>180.96469725639406</v>
      </c>
      <c r="D101" s="250">
        <f>C101*'[3]Base Costs'!$B$5</f>
        <v>180.96469725639406</v>
      </c>
      <c r="E101" s="250">
        <f t="shared" si="7"/>
        <v>23</v>
      </c>
      <c r="F101" s="250">
        <f t="shared" si="8"/>
        <v>5</v>
      </c>
      <c r="G101" s="250">
        <f t="shared" si="9"/>
        <v>2</v>
      </c>
      <c r="H101" s="251">
        <f>4*D101*'[3]Base Costs'!$B$7</f>
        <v>35965.647791524789</v>
      </c>
      <c r="I101" s="252">
        <f>4*IF(E101&lt;=3,E101*'[3]Base Costs'!$B$8,IF(F101&lt;=3,F101*'[3]Base Costs'!$B$9,'[3]Base Costs'!$B$10*G101))</f>
        <v>8800</v>
      </c>
      <c r="J101" s="253">
        <f>C101*'[3]Base Costs'!$B$6</f>
        <v>45.965033103124092</v>
      </c>
      <c r="K101" s="250">
        <f t="shared" si="10"/>
        <v>6</v>
      </c>
      <c r="L101" s="250">
        <f t="shared" si="11"/>
        <v>2</v>
      </c>
      <c r="M101" s="250">
        <f t="shared" si="12"/>
        <v>1</v>
      </c>
      <c r="N101" s="251">
        <f>4*J101*'[3]Base Costs'!$B$7</f>
        <v>9135.2745390472955</v>
      </c>
      <c r="O101" s="252">
        <f>4*IF(K101&lt;=3,K101*'[3]Base Costs'!$B$8,IF(L101&lt;=3,L101*'[3]Base Costs'!$B$9,'[3]Base Costs'!$B$10*M101))</f>
        <v>2800</v>
      </c>
      <c r="P101" s="252">
        <f>4*C101*'[3]Base Costs'!$B$11</f>
        <v>36192.939451278813</v>
      </c>
      <c r="Q101">
        <f>'[3]Base Costs'!$B$13+'[3]Base Costs'!$B$14</f>
        <v>414</v>
      </c>
      <c r="R101" s="239">
        <f>'[3]Base Costs'!$D$2</f>
        <v>1105.3024868650327</v>
      </c>
      <c r="S101" s="254">
        <f t="shared" si="13"/>
        <v>13454.577025912327</v>
      </c>
    </row>
    <row r="102" spans="1:19" x14ac:dyDescent="0.25">
      <c r="A102" s="248" t="s">
        <v>872</v>
      </c>
      <c r="B102" s="248" t="s">
        <v>975</v>
      </c>
      <c r="C102" s="249">
        <v>50.339275474565284</v>
      </c>
      <c r="D102" s="250">
        <f>C102*'[3]Base Costs'!$B$5</f>
        <v>50.339275474565284</v>
      </c>
      <c r="E102" s="250">
        <f t="shared" si="7"/>
        <v>7</v>
      </c>
      <c r="F102" s="250">
        <f t="shared" si="8"/>
        <v>2</v>
      </c>
      <c r="G102" s="250">
        <f t="shared" si="9"/>
        <v>1</v>
      </c>
      <c r="H102" s="251">
        <f>4*D102*'[3]Base Costs'!$B$7</f>
        <v>10004.628964917005</v>
      </c>
      <c r="I102" s="252">
        <f>4*IF(E102&lt;=3,E102*'[3]Base Costs'!$B$8,IF(F102&lt;=3,F102*'[3]Base Costs'!$B$9,'[3]Base Costs'!$B$10*G102))</f>
        <v>2800</v>
      </c>
      <c r="J102" s="253">
        <f>C102*'[3]Base Costs'!$B$6</f>
        <v>12.786175970539583</v>
      </c>
      <c r="K102" s="250">
        <f t="shared" si="10"/>
        <v>2</v>
      </c>
      <c r="L102" s="250">
        <f t="shared" si="11"/>
        <v>1</v>
      </c>
      <c r="M102" s="250">
        <f t="shared" si="12"/>
        <v>1</v>
      </c>
      <c r="N102" s="251">
        <f>4*J102*'[3]Base Costs'!$B$7</f>
        <v>2541.1757570889195</v>
      </c>
      <c r="O102" s="252">
        <f>4*IF(K102&lt;=3,K102*'[3]Base Costs'!$B$8,IF(L102&lt;=3,L102*'[3]Base Costs'!$B$9,'[3]Base Costs'!$B$10*M102))</f>
        <v>1000</v>
      </c>
      <c r="P102" s="252">
        <f>4*C102*'[3]Base Costs'!$B$11</f>
        <v>10067.855094913057</v>
      </c>
      <c r="Q102">
        <f>'[3]Base Costs'!$B$13+'[3]Base Costs'!$B$14</f>
        <v>414</v>
      </c>
      <c r="R102" s="239">
        <f>'[3]Base Costs'!$D$2</f>
        <v>1105.3024868650327</v>
      </c>
      <c r="S102" s="254">
        <f t="shared" si="13"/>
        <v>5060.4782439539522</v>
      </c>
    </row>
    <row r="103" spans="1:19" x14ac:dyDescent="0.25">
      <c r="A103" s="248" t="s">
        <v>872</v>
      </c>
      <c r="B103" s="248" t="s">
        <v>976</v>
      </c>
      <c r="C103" s="249">
        <v>289.00585353500003</v>
      </c>
      <c r="D103" s="250">
        <f>C103*'[3]Base Costs'!$B$5</f>
        <v>289.00585353500003</v>
      </c>
      <c r="E103" s="250">
        <f t="shared" si="7"/>
        <v>37</v>
      </c>
      <c r="F103" s="250">
        <f t="shared" si="8"/>
        <v>8</v>
      </c>
      <c r="G103" s="250">
        <f t="shared" si="9"/>
        <v>2</v>
      </c>
      <c r="H103" s="251">
        <f>4*D103*'[3]Base Costs'!$B$7</f>
        <v>57438.179354960055</v>
      </c>
      <c r="I103" s="252">
        <f>4*IF(E103&lt;=3,E103*'[3]Base Costs'!$B$8,IF(F103&lt;=3,F103*'[3]Base Costs'!$B$9,'[3]Base Costs'!$B$10*G103))</f>
        <v>8800</v>
      </c>
      <c r="J103" s="253">
        <f>C103*'[3]Base Costs'!$B$6</f>
        <v>73.407486797890002</v>
      </c>
      <c r="K103" s="250">
        <f t="shared" si="10"/>
        <v>10</v>
      </c>
      <c r="L103" s="250">
        <f t="shared" si="11"/>
        <v>2</v>
      </c>
      <c r="M103" s="250">
        <f t="shared" si="12"/>
        <v>1</v>
      </c>
      <c r="N103" s="251">
        <f>4*J103*'[3]Base Costs'!$B$7</f>
        <v>14589.297556159852</v>
      </c>
      <c r="O103" s="252">
        <f>4*IF(K103&lt;=3,K103*'[3]Base Costs'!$B$8,IF(L103&lt;=3,L103*'[3]Base Costs'!$B$9,'[3]Base Costs'!$B$10*M103))</f>
        <v>2800</v>
      </c>
      <c r="P103" s="252">
        <f>4*C103*'[3]Base Costs'!$B$11</f>
        <v>57801.170707000005</v>
      </c>
      <c r="Q103">
        <f>'[3]Base Costs'!$B$13+'[3]Base Costs'!$B$14</f>
        <v>414</v>
      </c>
      <c r="R103" s="239">
        <f>'[3]Base Costs'!$D$2</f>
        <v>1105.3024868650327</v>
      </c>
      <c r="S103" s="254">
        <f t="shared" si="13"/>
        <v>18908.600043024886</v>
      </c>
    </row>
    <row r="104" spans="1:19" x14ac:dyDescent="0.25">
      <c r="A104" s="248" t="s">
        <v>872</v>
      </c>
      <c r="B104" s="248" t="s">
        <v>977</v>
      </c>
      <c r="C104" s="249">
        <v>154.19683931329263</v>
      </c>
      <c r="D104" s="250">
        <f>C104*'[3]Base Costs'!$B$5</f>
        <v>154.19683931329263</v>
      </c>
      <c r="E104" s="250">
        <f t="shared" si="7"/>
        <v>20</v>
      </c>
      <c r="F104" s="250">
        <f t="shared" si="8"/>
        <v>4</v>
      </c>
      <c r="G104" s="250">
        <f t="shared" si="9"/>
        <v>1</v>
      </c>
      <c r="H104" s="251">
        <f>4*D104*'[3]Base Costs'!$B$7</f>
        <v>30645.696632481035</v>
      </c>
      <c r="I104" s="252">
        <f>4*IF(E104&lt;=3,E104*'[3]Base Costs'!$B$8,IF(F104&lt;=3,F104*'[3]Base Costs'!$B$9,'[3]Base Costs'!$B$10*G104))</f>
        <v>4400</v>
      </c>
      <c r="J104" s="253">
        <f>C104*'[3]Base Costs'!$B$6</f>
        <v>39.16599718557633</v>
      </c>
      <c r="K104" s="250">
        <f t="shared" si="10"/>
        <v>5</v>
      </c>
      <c r="L104" s="250">
        <f t="shared" si="11"/>
        <v>1</v>
      </c>
      <c r="M104" s="250">
        <f t="shared" si="12"/>
        <v>1</v>
      </c>
      <c r="N104" s="251">
        <f>4*J104*'[3]Base Costs'!$B$7</f>
        <v>7784.006944650183</v>
      </c>
      <c r="O104" s="252">
        <f>4*IF(K104&lt;=3,K104*'[3]Base Costs'!$B$8,IF(L104&lt;=3,L104*'[3]Base Costs'!$B$9,'[3]Base Costs'!$B$10*M104))</f>
        <v>1400</v>
      </c>
      <c r="P104" s="252">
        <f>4*C104*'[3]Base Costs'!$B$11</f>
        <v>30839.367862658524</v>
      </c>
      <c r="Q104">
        <f>'[3]Base Costs'!$B$13+'[3]Base Costs'!$B$14</f>
        <v>414</v>
      </c>
      <c r="R104" s="239">
        <f>'[3]Base Costs'!$D$2</f>
        <v>1105.3024868650327</v>
      </c>
      <c r="S104" s="254">
        <f t="shared" si="13"/>
        <v>10703.309431515216</v>
      </c>
    </row>
    <row r="105" spans="1:19" x14ac:dyDescent="0.25">
      <c r="A105" s="248" t="s">
        <v>872</v>
      </c>
      <c r="B105" s="248" t="s">
        <v>978</v>
      </c>
      <c r="C105" s="249">
        <v>255.52898646446204</v>
      </c>
      <c r="D105" s="250">
        <f>C105*'[3]Base Costs'!$B$5</f>
        <v>255.52898646446204</v>
      </c>
      <c r="E105" s="250">
        <f t="shared" si="7"/>
        <v>32</v>
      </c>
      <c r="F105" s="250">
        <f t="shared" si="8"/>
        <v>7</v>
      </c>
      <c r="G105" s="250">
        <f t="shared" si="9"/>
        <v>2</v>
      </c>
      <c r="H105" s="251">
        <f>4*D105*'[3]Base Costs'!$B$7</f>
        <v>50784.852885893051</v>
      </c>
      <c r="I105" s="252">
        <f>4*IF(E105&lt;=3,E105*'[3]Base Costs'!$B$8,IF(F105&lt;=3,F105*'[3]Base Costs'!$B$9,'[3]Base Costs'!$B$10*G105))</f>
        <v>8800</v>
      </c>
      <c r="J105" s="253">
        <f>C105*'[3]Base Costs'!$B$6</f>
        <v>64.904362561973358</v>
      </c>
      <c r="K105" s="250">
        <f t="shared" si="10"/>
        <v>9</v>
      </c>
      <c r="L105" s="250">
        <f t="shared" si="11"/>
        <v>2</v>
      </c>
      <c r="M105" s="250">
        <f t="shared" si="12"/>
        <v>1</v>
      </c>
      <c r="N105" s="251">
        <f>4*J105*'[3]Base Costs'!$B$7</f>
        <v>12899.352633016835</v>
      </c>
      <c r="O105" s="252">
        <f>4*IF(K105&lt;=3,K105*'[3]Base Costs'!$B$8,IF(L105&lt;=3,L105*'[3]Base Costs'!$B$9,'[3]Base Costs'!$B$10*M105))</f>
        <v>2800</v>
      </c>
      <c r="P105" s="252">
        <f>4*C105*'[3]Base Costs'!$B$11</f>
        <v>51105.797292892406</v>
      </c>
      <c r="Q105">
        <f>'[3]Base Costs'!$B$13+'[3]Base Costs'!$B$14</f>
        <v>414</v>
      </c>
      <c r="R105" s="239">
        <f>'[3]Base Costs'!$D$2</f>
        <v>1105.3024868650327</v>
      </c>
      <c r="S105" s="254">
        <f t="shared" si="13"/>
        <v>17218.655119881867</v>
      </c>
    </row>
    <row r="106" spans="1:19" x14ac:dyDescent="0.25">
      <c r="A106" s="248" t="s">
        <v>872</v>
      </c>
      <c r="B106" s="248" t="s">
        <v>979</v>
      </c>
      <c r="C106" s="249">
        <v>81.679866431680338</v>
      </c>
      <c r="D106" s="250">
        <f>C106*'[3]Base Costs'!$B$5</f>
        <v>81.679866431680338</v>
      </c>
      <c r="E106" s="250">
        <f t="shared" si="7"/>
        <v>11</v>
      </c>
      <c r="F106" s="250">
        <f t="shared" si="8"/>
        <v>3</v>
      </c>
      <c r="G106" s="250">
        <f t="shared" si="9"/>
        <v>1</v>
      </c>
      <c r="H106" s="251">
        <f>4*D106*'[3]Base Costs'!$B$7</f>
        <v>16233.383374097879</v>
      </c>
      <c r="I106" s="252">
        <f>4*IF(E106&lt;=3,E106*'[3]Base Costs'!$B$8,IF(F106&lt;=3,F106*'[3]Base Costs'!$B$9,'[3]Base Costs'!$B$10*G106))</f>
        <v>4200</v>
      </c>
      <c r="J106" s="253">
        <f>C106*'[3]Base Costs'!$B$6</f>
        <v>20.746686073646806</v>
      </c>
      <c r="K106" s="250">
        <f t="shared" si="10"/>
        <v>3</v>
      </c>
      <c r="L106" s="250">
        <f t="shared" si="11"/>
        <v>1</v>
      </c>
      <c r="M106" s="250">
        <f t="shared" si="12"/>
        <v>1</v>
      </c>
      <c r="N106" s="251">
        <f>4*J106*'[3]Base Costs'!$B$7</f>
        <v>4123.2793770208618</v>
      </c>
      <c r="O106" s="252">
        <f>4*IF(K106&lt;=3,K106*'[3]Base Costs'!$B$8,IF(L106&lt;=3,L106*'[3]Base Costs'!$B$9,'[3]Base Costs'!$B$10*M106))</f>
        <v>1500</v>
      </c>
      <c r="P106" s="252">
        <f>4*C106*'[3]Base Costs'!$B$11</f>
        <v>16335.973286336068</v>
      </c>
      <c r="Q106">
        <f>'[3]Base Costs'!$B$13+'[3]Base Costs'!$B$14</f>
        <v>414</v>
      </c>
      <c r="R106" s="239">
        <f>'[3]Base Costs'!$D$2</f>
        <v>1105.3024868650327</v>
      </c>
      <c r="S106" s="254">
        <f t="shared" si="13"/>
        <v>7142.5818638858946</v>
      </c>
    </row>
    <row r="107" spans="1:19" x14ac:dyDescent="0.25">
      <c r="A107" s="248" t="s">
        <v>872</v>
      </c>
      <c r="B107" s="248" t="s">
        <v>980</v>
      </c>
      <c r="C107" s="249">
        <v>63.104447772546408</v>
      </c>
      <c r="D107" s="250">
        <f>C107*'[3]Base Costs'!$B$5</f>
        <v>63.104447772546408</v>
      </c>
      <c r="E107" s="250">
        <f t="shared" si="7"/>
        <v>8</v>
      </c>
      <c r="F107" s="250">
        <f t="shared" si="8"/>
        <v>2</v>
      </c>
      <c r="G107" s="250">
        <f t="shared" si="9"/>
        <v>1</v>
      </c>
      <c r="H107" s="251">
        <f>4*D107*'[3]Base Costs'!$B$7</f>
        <v>12541.630368106966</v>
      </c>
      <c r="I107" s="252">
        <f>4*IF(E107&lt;=3,E107*'[3]Base Costs'!$B$8,IF(F107&lt;=3,F107*'[3]Base Costs'!$B$9,'[3]Base Costs'!$B$10*G107))</f>
        <v>2800</v>
      </c>
      <c r="J107" s="253">
        <f>C107*'[3]Base Costs'!$B$6</f>
        <v>16.028529734226787</v>
      </c>
      <c r="K107" s="250">
        <f t="shared" si="10"/>
        <v>3</v>
      </c>
      <c r="L107" s="250">
        <f t="shared" si="11"/>
        <v>1</v>
      </c>
      <c r="M107" s="250">
        <f t="shared" si="12"/>
        <v>1</v>
      </c>
      <c r="N107" s="251">
        <f>4*J107*'[3]Base Costs'!$B$7</f>
        <v>3185.574113499169</v>
      </c>
      <c r="O107" s="252">
        <f>4*IF(K107&lt;=3,K107*'[3]Base Costs'!$B$8,IF(L107&lt;=3,L107*'[3]Base Costs'!$B$9,'[3]Base Costs'!$B$10*M107))</f>
        <v>1500</v>
      </c>
      <c r="P107" s="252">
        <f>4*C107*'[3]Base Costs'!$B$11</f>
        <v>12620.889554509282</v>
      </c>
      <c r="Q107">
        <f>'[3]Base Costs'!$B$13+'[3]Base Costs'!$B$14</f>
        <v>414</v>
      </c>
      <c r="R107" s="239">
        <f>'[3]Base Costs'!$D$2</f>
        <v>1105.3024868650327</v>
      </c>
      <c r="S107" s="254">
        <f t="shared" si="13"/>
        <v>6204.8766003642013</v>
      </c>
    </row>
    <row r="108" spans="1:19" x14ac:dyDescent="0.25">
      <c r="A108" s="248" t="s">
        <v>872</v>
      </c>
      <c r="B108" s="248" t="s">
        <v>981</v>
      </c>
      <c r="C108" s="249">
        <v>79.312906464377704</v>
      </c>
      <c r="D108" s="250">
        <f>C108*'[3]Base Costs'!$B$5</f>
        <v>79.312906464377704</v>
      </c>
      <c r="E108" s="250">
        <f t="shared" si="7"/>
        <v>10</v>
      </c>
      <c r="F108" s="250">
        <f t="shared" si="8"/>
        <v>2</v>
      </c>
      <c r="G108" s="250">
        <f t="shared" si="9"/>
        <v>1</v>
      </c>
      <c r="H108" s="251">
        <f>4*D108*'[3]Base Costs'!$B$7</f>
        <v>15762.964282356284</v>
      </c>
      <c r="I108" s="252">
        <f>4*IF(E108&lt;=3,E108*'[3]Base Costs'!$B$8,IF(F108&lt;=3,F108*'[3]Base Costs'!$B$9,'[3]Base Costs'!$B$10*G108))</f>
        <v>2800</v>
      </c>
      <c r="J108" s="253">
        <f>C108*'[3]Base Costs'!$B$6</f>
        <v>20.145478241951938</v>
      </c>
      <c r="K108" s="250">
        <f t="shared" si="10"/>
        <v>3</v>
      </c>
      <c r="L108" s="250">
        <f t="shared" si="11"/>
        <v>1</v>
      </c>
      <c r="M108" s="250">
        <f t="shared" si="12"/>
        <v>1</v>
      </c>
      <c r="N108" s="251">
        <f>4*J108*'[3]Base Costs'!$B$7</f>
        <v>4003.7929277184967</v>
      </c>
      <c r="O108" s="252">
        <f>4*IF(K108&lt;=3,K108*'[3]Base Costs'!$B$8,IF(L108&lt;=3,L108*'[3]Base Costs'!$B$9,'[3]Base Costs'!$B$10*M108))</f>
        <v>1500</v>
      </c>
      <c r="P108" s="252">
        <f>4*C108*'[3]Base Costs'!$B$11</f>
        <v>15862.58129287554</v>
      </c>
      <c r="Q108">
        <f>'[3]Base Costs'!$B$13+'[3]Base Costs'!$B$14</f>
        <v>414</v>
      </c>
      <c r="R108" s="239">
        <f>'[3]Base Costs'!$D$2</f>
        <v>1105.3024868650327</v>
      </c>
      <c r="S108" s="254">
        <f t="shared" si="13"/>
        <v>7023.0954145835294</v>
      </c>
    </row>
    <row r="109" spans="1:19" x14ac:dyDescent="0.25">
      <c r="A109" s="248" t="s">
        <v>872</v>
      </c>
      <c r="B109" s="248" t="s">
        <v>982</v>
      </c>
      <c r="C109" s="249">
        <v>86.934071898984584</v>
      </c>
      <c r="D109" s="250">
        <f>C109*'[3]Base Costs'!$B$5</f>
        <v>86.934071898984584</v>
      </c>
      <c r="E109" s="250">
        <f t="shared" si="7"/>
        <v>11</v>
      </c>
      <c r="F109" s="250">
        <f t="shared" si="8"/>
        <v>3</v>
      </c>
      <c r="G109" s="250">
        <f t="shared" si="9"/>
        <v>1</v>
      </c>
      <c r="H109" s="251">
        <f>4*D109*'[3]Base Costs'!$B$7</f>
        <v>17277.625185491794</v>
      </c>
      <c r="I109" s="252">
        <f>4*IF(E109&lt;=3,E109*'[3]Base Costs'!$B$8,IF(F109&lt;=3,F109*'[3]Base Costs'!$B$9,'[3]Base Costs'!$B$10*G109))</f>
        <v>4200</v>
      </c>
      <c r="J109" s="253">
        <f>C109*'[3]Base Costs'!$B$6</f>
        <v>22.081254262342085</v>
      </c>
      <c r="K109" s="250">
        <f t="shared" si="10"/>
        <v>3</v>
      </c>
      <c r="L109" s="250">
        <f t="shared" si="11"/>
        <v>1</v>
      </c>
      <c r="M109" s="250">
        <f t="shared" si="12"/>
        <v>1</v>
      </c>
      <c r="N109" s="251">
        <f>4*J109*'[3]Base Costs'!$B$7</f>
        <v>4388.5167971149158</v>
      </c>
      <c r="O109" s="252">
        <f>4*IF(K109&lt;=3,K109*'[3]Base Costs'!$B$8,IF(L109&lt;=3,L109*'[3]Base Costs'!$B$9,'[3]Base Costs'!$B$10*M109))</f>
        <v>1500</v>
      </c>
      <c r="P109" s="252">
        <f>4*C109*'[3]Base Costs'!$B$11</f>
        <v>17386.814379796917</v>
      </c>
      <c r="Q109">
        <f>'[3]Base Costs'!$B$13+'[3]Base Costs'!$B$14</f>
        <v>414</v>
      </c>
      <c r="R109" s="239">
        <f>'[3]Base Costs'!$D$2</f>
        <v>1105.3024868650327</v>
      </c>
      <c r="S109" s="254">
        <f t="shared" si="13"/>
        <v>7407.8192839799485</v>
      </c>
    </row>
    <row r="110" spans="1:19" x14ac:dyDescent="0.25">
      <c r="A110" s="248" t="s">
        <v>872</v>
      </c>
      <c r="B110" s="248" t="s">
        <v>983</v>
      </c>
      <c r="C110" s="249">
        <v>76.857849265168284</v>
      </c>
      <c r="D110" s="250">
        <f>C110*'[3]Base Costs'!$B$5</f>
        <v>76.857849265168284</v>
      </c>
      <c r="E110" s="250">
        <f t="shared" si="7"/>
        <v>10</v>
      </c>
      <c r="F110" s="250">
        <f t="shared" si="8"/>
        <v>2</v>
      </c>
      <c r="G110" s="250">
        <f t="shared" si="9"/>
        <v>1</v>
      </c>
      <c r="H110" s="251">
        <f>4*D110*'[3]Base Costs'!$B$7</f>
        <v>15275.036394356608</v>
      </c>
      <c r="I110" s="252">
        <f>4*IF(E110&lt;=3,E110*'[3]Base Costs'!$B$8,IF(F110&lt;=3,F110*'[3]Base Costs'!$B$9,'[3]Base Costs'!$B$10*G110))</f>
        <v>2800</v>
      </c>
      <c r="J110" s="253">
        <f>C110*'[3]Base Costs'!$B$6</f>
        <v>19.521893713352743</v>
      </c>
      <c r="K110" s="250">
        <f t="shared" si="10"/>
        <v>3</v>
      </c>
      <c r="L110" s="250">
        <f t="shared" si="11"/>
        <v>1</v>
      </c>
      <c r="M110" s="250">
        <f t="shared" si="12"/>
        <v>1</v>
      </c>
      <c r="N110" s="251">
        <f>4*J110*'[3]Base Costs'!$B$7</f>
        <v>3879.8592441665778</v>
      </c>
      <c r="O110" s="252">
        <f>4*IF(K110&lt;=3,K110*'[3]Base Costs'!$B$8,IF(L110&lt;=3,L110*'[3]Base Costs'!$B$9,'[3]Base Costs'!$B$10*M110))</f>
        <v>1500</v>
      </c>
      <c r="P110" s="252">
        <f>4*C110*'[3]Base Costs'!$B$11</f>
        <v>15371.569853033656</v>
      </c>
      <c r="Q110">
        <f>'[3]Base Costs'!$B$13+'[3]Base Costs'!$B$14</f>
        <v>414</v>
      </c>
      <c r="R110" s="239">
        <f>'[3]Base Costs'!$D$2</f>
        <v>1105.3024868650327</v>
      </c>
      <c r="S110" s="254">
        <f t="shared" si="13"/>
        <v>6899.1617310316105</v>
      </c>
    </row>
    <row r="111" spans="1:19" x14ac:dyDescent="0.25">
      <c r="A111" s="248" t="s">
        <v>872</v>
      </c>
      <c r="B111" s="248" t="s">
        <v>984</v>
      </c>
      <c r="C111" s="249">
        <v>248.03077956111065</v>
      </c>
      <c r="D111" s="250">
        <f>C111*'[3]Base Costs'!$B$5</f>
        <v>248.03077956111065</v>
      </c>
      <c r="E111" s="250">
        <f t="shared" si="7"/>
        <v>32</v>
      </c>
      <c r="F111" s="250">
        <f t="shared" si="8"/>
        <v>7</v>
      </c>
      <c r="G111" s="250">
        <f t="shared" si="9"/>
        <v>2</v>
      </c>
      <c r="H111" s="251">
        <f>4*D111*'[3]Base Costs'!$B$7</f>
        <v>49294.629253093379</v>
      </c>
      <c r="I111" s="252">
        <f>4*IF(E111&lt;=3,E111*'[3]Base Costs'!$B$8,IF(F111&lt;=3,F111*'[3]Base Costs'!$B$9,'[3]Base Costs'!$B$10*G111))</f>
        <v>8800</v>
      </c>
      <c r="J111" s="253">
        <f>C111*'[3]Base Costs'!$B$6</f>
        <v>62.999818008522105</v>
      </c>
      <c r="K111" s="250">
        <f t="shared" si="10"/>
        <v>8</v>
      </c>
      <c r="L111" s="250">
        <f t="shared" si="11"/>
        <v>2</v>
      </c>
      <c r="M111" s="250">
        <f t="shared" si="12"/>
        <v>1</v>
      </c>
      <c r="N111" s="251">
        <f>4*J111*'[3]Base Costs'!$B$7</f>
        <v>12520.83583028572</v>
      </c>
      <c r="O111" s="252">
        <f>4*IF(K111&lt;=3,K111*'[3]Base Costs'!$B$8,IF(L111&lt;=3,L111*'[3]Base Costs'!$B$9,'[3]Base Costs'!$B$10*M111))</f>
        <v>2800</v>
      </c>
      <c r="P111" s="252">
        <f>4*C111*'[3]Base Costs'!$B$11</f>
        <v>49606.15591222213</v>
      </c>
      <c r="Q111">
        <f>'[3]Base Costs'!$B$13+'[3]Base Costs'!$B$14</f>
        <v>414</v>
      </c>
      <c r="R111" s="239">
        <f>'[3]Base Costs'!$D$2</f>
        <v>1105.3024868650327</v>
      </c>
      <c r="S111" s="254">
        <f t="shared" si="13"/>
        <v>16840.138317150751</v>
      </c>
    </row>
    <row r="112" spans="1:19" x14ac:dyDescent="0.25">
      <c r="A112" s="248" t="s">
        <v>872</v>
      </c>
      <c r="B112" s="248" t="s">
        <v>985</v>
      </c>
      <c r="C112" s="249">
        <v>134.21580695873169</v>
      </c>
      <c r="D112" s="250">
        <f>C112*'[3]Base Costs'!$B$5</f>
        <v>134.21580695873169</v>
      </c>
      <c r="E112" s="250">
        <f t="shared" si="7"/>
        <v>17</v>
      </c>
      <c r="F112" s="250">
        <f t="shared" si="8"/>
        <v>4</v>
      </c>
      <c r="G112" s="250">
        <f t="shared" si="9"/>
        <v>1</v>
      </c>
      <c r="H112" s="251">
        <f>4*D112*'[3]Base Costs'!$B$7</f>
        <v>26674.586338206176</v>
      </c>
      <c r="I112" s="252">
        <f>4*IF(E112&lt;=3,E112*'[3]Base Costs'!$B$8,IF(F112&lt;=3,F112*'[3]Base Costs'!$B$9,'[3]Base Costs'!$B$10*G112))</f>
        <v>4400</v>
      </c>
      <c r="J112" s="253">
        <f>C112*'[3]Base Costs'!$B$6</f>
        <v>34.090814967517851</v>
      </c>
      <c r="K112" s="250">
        <f t="shared" si="10"/>
        <v>5</v>
      </c>
      <c r="L112" s="250">
        <f t="shared" si="11"/>
        <v>1</v>
      </c>
      <c r="M112" s="250">
        <f t="shared" si="12"/>
        <v>1</v>
      </c>
      <c r="N112" s="251">
        <f>4*J112*'[3]Base Costs'!$B$7</f>
        <v>6775.3449299043687</v>
      </c>
      <c r="O112" s="252">
        <f>4*IF(K112&lt;=3,K112*'[3]Base Costs'!$B$8,IF(L112&lt;=3,L112*'[3]Base Costs'!$B$9,'[3]Base Costs'!$B$10*M112))</f>
        <v>1400</v>
      </c>
      <c r="P112" s="252">
        <f>4*C112*'[3]Base Costs'!$B$11</f>
        <v>26843.161391746336</v>
      </c>
      <c r="Q112">
        <f>'[3]Base Costs'!$B$13+'[3]Base Costs'!$B$14</f>
        <v>414</v>
      </c>
      <c r="R112" s="239">
        <f>'[3]Base Costs'!$D$2</f>
        <v>1105.3024868650327</v>
      </c>
      <c r="S112" s="254">
        <f t="shared" si="13"/>
        <v>9694.6474167694014</v>
      </c>
    </row>
    <row r="113" spans="1:19" x14ac:dyDescent="0.25">
      <c r="A113" s="248" t="s">
        <v>872</v>
      </c>
      <c r="B113" s="248" t="s">
        <v>986</v>
      </c>
      <c r="C113" s="249">
        <v>52.099865305000002</v>
      </c>
      <c r="D113" s="250">
        <f>C113*'[3]Base Costs'!$B$5</f>
        <v>52.099865305000002</v>
      </c>
      <c r="E113" s="250">
        <f t="shared" si="7"/>
        <v>7</v>
      </c>
      <c r="F113" s="250">
        <f t="shared" si="8"/>
        <v>2</v>
      </c>
      <c r="G113" s="250">
        <f t="shared" si="9"/>
        <v>1</v>
      </c>
      <c r="H113" s="251">
        <f>4*D113*'[3]Base Costs'!$B$7</f>
        <v>10354.535630176922</v>
      </c>
      <c r="I113" s="252">
        <f>4*IF(E113&lt;=3,E113*'[3]Base Costs'!$B$8,IF(F113&lt;=3,F113*'[3]Base Costs'!$B$9,'[3]Base Costs'!$B$10*G113))</f>
        <v>2800</v>
      </c>
      <c r="J113" s="253">
        <f>C113*'[3]Base Costs'!$B$6</f>
        <v>13.233365787470001</v>
      </c>
      <c r="K113" s="250">
        <f t="shared" si="10"/>
        <v>2</v>
      </c>
      <c r="L113" s="250">
        <f t="shared" si="11"/>
        <v>1</v>
      </c>
      <c r="M113" s="250">
        <f t="shared" si="12"/>
        <v>1</v>
      </c>
      <c r="N113" s="251">
        <f>4*J113*'[3]Base Costs'!$B$7</f>
        <v>2630.0520500649382</v>
      </c>
      <c r="O113" s="252">
        <f>4*IF(K113&lt;=3,K113*'[3]Base Costs'!$B$8,IF(L113&lt;=3,L113*'[3]Base Costs'!$B$9,'[3]Base Costs'!$B$10*M113))</f>
        <v>1000</v>
      </c>
      <c r="P113" s="252">
        <f>4*C113*'[3]Base Costs'!$B$11</f>
        <v>10419.973061000001</v>
      </c>
      <c r="Q113">
        <f>'[3]Base Costs'!$B$13+'[3]Base Costs'!$B$14</f>
        <v>414</v>
      </c>
      <c r="R113" s="239">
        <f>'[3]Base Costs'!$D$2</f>
        <v>1105.3024868650327</v>
      </c>
      <c r="S113" s="254">
        <f t="shared" si="13"/>
        <v>5149.3545369299709</v>
      </c>
    </row>
    <row r="114" spans="1:19" x14ac:dyDescent="0.25">
      <c r="A114" s="248" t="s">
        <v>872</v>
      </c>
      <c r="B114" s="248" t="s">
        <v>987</v>
      </c>
      <c r="C114" s="249">
        <v>66.921262112948611</v>
      </c>
      <c r="D114" s="250">
        <f>C114*'[3]Base Costs'!$B$5</f>
        <v>66.921262112948611</v>
      </c>
      <c r="E114" s="250">
        <f t="shared" si="7"/>
        <v>9</v>
      </c>
      <c r="F114" s="250">
        <f t="shared" si="8"/>
        <v>2</v>
      </c>
      <c r="G114" s="250">
        <f t="shared" si="9"/>
        <v>1</v>
      </c>
      <c r="H114" s="251">
        <f>4*D114*'[3]Base Costs'!$B$7</f>
        <v>13300.19931737586</v>
      </c>
      <c r="I114" s="252">
        <f>4*IF(E114&lt;=3,E114*'[3]Base Costs'!$B$8,IF(F114&lt;=3,F114*'[3]Base Costs'!$B$9,'[3]Base Costs'!$B$10*G114))</f>
        <v>2800</v>
      </c>
      <c r="J114" s="253">
        <f>C114*'[3]Base Costs'!$B$6</f>
        <v>16.998000576688948</v>
      </c>
      <c r="K114" s="250">
        <f t="shared" si="10"/>
        <v>3</v>
      </c>
      <c r="L114" s="250">
        <f t="shared" si="11"/>
        <v>1</v>
      </c>
      <c r="M114" s="250">
        <f t="shared" si="12"/>
        <v>1</v>
      </c>
      <c r="N114" s="251">
        <f>4*J114*'[3]Base Costs'!$B$7</f>
        <v>3378.2506266134687</v>
      </c>
      <c r="O114" s="252">
        <f>4*IF(K114&lt;=3,K114*'[3]Base Costs'!$B$8,IF(L114&lt;=3,L114*'[3]Base Costs'!$B$9,'[3]Base Costs'!$B$10*M114))</f>
        <v>1500</v>
      </c>
      <c r="P114" s="252">
        <f>4*C114*'[3]Base Costs'!$B$11</f>
        <v>13384.252422589721</v>
      </c>
      <c r="Q114">
        <f>'[3]Base Costs'!$B$13+'[3]Base Costs'!$B$14</f>
        <v>414</v>
      </c>
      <c r="R114" s="239">
        <f>'[3]Base Costs'!$D$2</f>
        <v>1105.3024868650327</v>
      </c>
      <c r="S114" s="254">
        <f t="shared" si="13"/>
        <v>6397.5531134785015</v>
      </c>
    </row>
    <row r="115" spans="1:19" x14ac:dyDescent="0.25">
      <c r="A115" s="248" t="s">
        <v>988</v>
      </c>
      <c r="B115" s="248" t="s">
        <v>873</v>
      </c>
      <c r="C115" s="249">
        <v>200.60310447638173</v>
      </c>
      <c r="D115" s="250">
        <f>C115*'[3]Base Costs'!$B$5</f>
        <v>200.60310447638173</v>
      </c>
      <c r="E115" s="250">
        <f t="shared" si="7"/>
        <v>26</v>
      </c>
      <c r="F115" s="250">
        <f t="shared" si="8"/>
        <v>6</v>
      </c>
      <c r="G115" s="250">
        <f t="shared" si="9"/>
        <v>2</v>
      </c>
      <c r="H115" s="251">
        <f>4*D115*'[3]Base Costs'!$B$7</f>
        <v>39868.663396054013</v>
      </c>
      <c r="I115" s="252">
        <f>4*IF(E115&lt;=3,E115*'[3]Base Costs'!$B$8,IF(F115&lt;=3,F115*'[3]Base Costs'!$B$9,'[3]Base Costs'!$B$10*G115))</f>
        <v>8800</v>
      </c>
      <c r="J115" s="253">
        <f>C115*'[3]Base Costs'!$B$6</f>
        <v>50.953188537000962</v>
      </c>
      <c r="K115" s="250">
        <f t="shared" si="10"/>
        <v>7</v>
      </c>
      <c r="L115" s="250">
        <f t="shared" si="11"/>
        <v>2</v>
      </c>
      <c r="M115" s="250">
        <f t="shared" si="12"/>
        <v>1</v>
      </c>
      <c r="N115" s="251">
        <f>4*J115*'[3]Base Costs'!$B$7</f>
        <v>10126.64050259772</v>
      </c>
      <c r="O115" s="252">
        <f>4*IF(K115&lt;=3,K115*'[3]Base Costs'!$B$8,IF(L115&lt;=3,L115*'[3]Base Costs'!$B$9,'[3]Base Costs'!$B$10*M115))</f>
        <v>2800</v>
      </c>
      <c r="P115" s="252">
        <f>4*C115*'[3]Base Costs'!$B$11</f>
        <v>40120.620895276348</v>
      </c>
      <c r="Q115">
        <f>'[3]Base Costs'!$B$13+'[3]Base Costs'!$B$14</f>
        <v>414</v>
      </c>
      <c r="R115" s="239">
        <f>'[3]Base Costs'!$D$2</f>
        <v>1105.3024868650327</v>
      </c>
      <c r="S115" s="254">
        <f t="shared" si="13"/>
        <v>14445.942989462754</v>
      </c>
    </row>
    <row r="116" spans="1:19" x14ac:dyDescent="0.25">
      <c r="A116" s="248" t="s">
        <v>988</v>
      </c>
      <c r="B116" s="248" t="s">
        <v>876</v>
      </c>
      <c r="C116" s="249">
        <v>82.82749037492151</v>
      </c>
      <c r="D116" s="250">
        <f>C116*'[3]Base Costs'!$B$5</f>
        <v>82.82749037492151</v>
      </c>
      <c r="E116" s="250">
        <f t="shared" si="7"/>
        <v>11</v>
      </c>
      <c r="F116" s="250">
        <f t="shared" si="8"/>
        <v>3</v>
      </c>
      <c r="G116" s="250">
        <f t="shared" si="9"/>
        <v>1</v>
      </c>
      <c r="H116" s="251">
        <f>4*D116*'[3]Base Costs'!$B$7</f>
        <v>16461.466747073402</v>
      </c>
      <c r="I116" s="252">
        <f>4*IF(E116&lt;=3,E116*'[3]Base Costs'!$B$8,IF(F116&lt;=3,F116*'[3]Base Costs'!$B$9,'[3]Base Costs'!$B$10*G116))</f>
        <v>4200</v>
      </c>
      <c r="J116" s="253">
        <f>C116*'[3]Base Costs'!$B$6</f>
        <v>21.038182555230065</v>
      </c>
      <c r="K116" s="250">
        <f t="shared" si="10"/>
        <v>3</v>
      </c>
      <c r="L116" s="250">
        <f t="shared" si="11"/>
        <v>1</v>
      </c>
      <c r="M116" s="250">
        <f t="shared" si="12"/>
        <v>1</v>
      </c>
      <c r="N116" s="251">
        <f>4*J116*'[3]Base Costs'!$B$7</f>
        <v>4181.2125537566444</v>
      </c>
      <c r="O116" s="252">
        <f>4*IF(K116&lt;=3,K116*'[3]Base Costs'!$B$8,IF(L116&lt;=3,L116*'[3]Base Costs'!$B$9,'[3]Base Costs'!$B$10*M116))</f>
        <v>1500</v>
      </c>
      <c r="P116" s="252">
        <f>4*C116*'[3]Base Costs'!$B$11</f>
        <v>16565.498074984302</v>
      </c>
      <c r="Q116">
        <f>'[3]Base Costs'!$B$13+'[3]Base Costs'!$B$14</f>
        <v>414</v>
      </c>
      <c r="R116" s="239">
        <f>'[3]Base Costs'!$D$2</f>
        <v>1105.3024868650327</v>
      </c>
      <c r="S116" s="254">
        <f t="shared" si="13"/>
        <v>7200.5150406216771</v>
      </c>
    </row>
    <row r="117" spans="1:19" x14ac:dyDescent="0.25">
      <c r="A117" s="248" t="s">
        <v>988</v>
      </c>
      <c r="B117" s="248" t="s">
        <v>989</v>
      </c>
      <c r="C117" s="249">
        <v>53.90341054834267</v>
      </c>
      <c r="D117" s="250">
        <f>C117*'[3]Base Costs'!$B$5</f>
        <v>53.90341054834267</v>
      </c>
      <c r="E117" s="250">
        <f t="shared" si="7"/>
        <v>7</v>
      </c>
      <c r="F117" s="250">
        <f t="shared" si="8"/>
        <v>2</v>
      </c>
      <c r="G117" s="250">
        <f t="shared" si="9"/>
        <v>1</v>
      </c>
      <c r="H117" s="251">
        <f>4*D117*'[3]Base Costs'!$B$7</f>
        <v>10712.979426019818</v>
      </c>
      <c r="I117" s="252">
        <f>4*IF(E117&lt;=3,E117*'[3]Base Costs'!$B$8,IF(F117&lt;=3,F117*'[3]Base Costs'!$B$9,'[3]Base Costs'!$B$10*G117))</f>
        <v>2800</v>
      </c>
      <c r="J117" s="253">
        <f>C117*'[3]Base Costs'!$B$6</f>
        <v>13.691466279279039</v>
      </c>
      <c r="K117" s="250">
        <f t="shared" si="10"/>
        <v>2</v>
      </c>
      <c r="L117" s="250">
        <f t="shared" si="11"/>
        <v>1</v>
      </c>
      <c r="M117" s="250">
        <f t="shared" si="12"/>
        <v>1</v>
      </c>
      <c r="N117" s="251">
        <f>4*J117*'[3]Base Costs'!$B$7</f>
        <v>2721.0967742090338</v>
      </c>
      <c r="O117" s="252">
        <f>4*IF(K117&lt;=3,K117*'[3]Base Costs'!$B$8,IF(L117&lt;=3,L117*'[3]Base Costs'!$B$9,'[3]Base Costs'!$B$10*M117))</f>
        <v>1000</v>
      </c>
      <c r="P117" s="252">
        <f>4*C117*'[3]Base Costs'!$B$11</f>
        <v>10780.682109668534</v>
      </c>
      <c r="Q117">
        <f>'[3]Base Costs'!$B$13+'[3]Base Costs'!$B$14</f>
        <v>414</v>
      </c>
      <c r="R117" s="239">
        <f>'[3]Base Costs'!$D$2</f>
        <v>1105.3024868650327</v>
      </c>
      <c r="S117" s="254">
        <f t="shared" si="13"/>
        <v>5240.3992610740661</v>
      </c>
    </row>
    <row r="118" spans="1:19" x14ac:dyDescent="0.25">
      <c r="A118" s="248" t="s">
        <v>988</v>
      </c>
      <c r="B118" s="248" t="s">
        <v>878</v>
      </c>
      <c r="C118" s="249">
        <v>159.39973624500001</v>
      </c>
      <c r="D118" s="250">
        <f>C118*'[3]Base Costs'!$B$5</f>
        <v>159.39973624500001</v>
      </c>
      <c r="E118" s="250">
        <f t="shared" si="7"/>
        <v>20</v>
      </c>
      <c r="F118" s="250">
        <f t="shared" si="8"/>
        <v>4</v>
      </c>
      <c r="G118" s="250">
        <f t="shared" si="9"/>
        <v>1</v>
      </c>
      <c r="H118" s="251">
        <f>4*D118*'[3]Base Costs'!$B$7</f>
        <v>31679.741180276287</v>
      </c>
      <c r="I118" s="252">
        <f>4*IF(E118&lt;=3,E118*'[3]Base Costs'!$B$8,IF(F118&lt;=3,F118*'[3]Base Costs'!$B$9,'[3]Base Costs'!$B$10*G118))</f>
        <v>4400</v>
      </c>
      <c r="J118" s="253">
        <f>C118*'[3]Base Costs'!$B$6</f>
        <v>40.487533006230002</v>
      </c>
      <c r="K118" s="250">
        <f t="shared" si="10"/>
        <v>6</v>
      </c>
      <c r="L118" s="250">
        <f t="shared" si="11"/>
        <v>2</v>
      </c>
      <c r="M118" s="250">
        <f t="shared" si="12"/>
        <v>1</v>
      </c>
      <c r="N118" s="251">
        <f>4*J118*'[3]Base Costs'!$B$7</f>
        <v>8046.6542597901771</v>
      </c>
      <c r="O118" s="252">
        <f>4*IF(K118&lt;=3,K118*'[3]Base Costs'!$B$8,IF(L118&lt;=3,L118*'[3]Base Costs'!$B$9,'[3]Base Costs'!$B$10*M118))</f>
        <v>2800</v>
      </c>
      <c r="P118" s="252">
        <f>4*C118*'[3]Base Costs'!$B$11</f>
        <v>31879.947249000004</v>
      </c>
      <c r="Q118">
        <f>'[3]Base Costs'!$B$13+'[3]Base Costs'!$B$14</f>
        <v>414</v>
      </c>
      <c r="R118" s="239">
        <f>'[3]Base Costs'!$D$2</f>
        <v>1105.3024868650327</v>
      </c>
      <c r="S118" s="254">
        <f t="shared" si="13"/>
        <v>12365.956746655211</v>
      </c>
    </row>
    <row r="119" spans="1:19" x14ac:dyDescent="0.25">
      <c r="A119" s="248" t="s">
        <v>988</v>
      </c>
      <c r="B119" s="248" t="s">
        <v>879</v>
      </c>
      <c r="C119" s="249">
        <v>72.930463870959656</v>
      </c>
      <c r="D119" s="250">
        <f>C119*'[3]Base Costs'!$B$5</f>
        <v>72.930463870959656</v>
      </c>
      <c r="E119" s="250">
        <f t="shared" si="7"/>
        <v>10</v>
      </c>
      <c r="F119" s="250">
        <f t="shared" si="8"/>
        <v>2</v>
      </c>
      <c r="G119" s="250">
        <f t="shared" si="9"/>
        <v>1</v>
      </c>
      <c r="H119" s="251">
        <f>4*D119*'[3]Base Costs'!$B$7</f>
        <v>14494.492111570007</v>
      </c>
      <c r="I119" s="252">
        <f>4*IF(E119&lt;=3,E119*'[3]Base Costs'!$B$8,IF(F119&lt;=3,F119*'[3]Base Costs'!$B$9,'[3]Base Costs'!$B$10*G119))</f>
        <v>2800</v>
      </c>
      <c r="J119" s="253">
        <f>C119*'[3]Base Costs'!$B$6</f>
        <v>18.524337823223753</v>
      </c>
      <c r="K119" s="250">
        <f t="shared" si="10"/>
        <v>3</v>
      </c>
      <c r="L119" s="250">
        <f t="shared" si="11"/>
        <v>1</v>
      </c>
      <c r="M119" s="250">
        <f t="shared" si="12"/>
        <v>1</v>
      </c>
      <c r="N119" s="251">
        <f>4*J119*'[3]Base Costs'!$B$7</f>
        <v>3681.6009963387824</v>
      </c>
      <c r="O119" s="252">
        <f>4*IF(K119&lt;=3,K119*'[3]Base Costs'!$B$8,IF(L119&lt;=3,L119*'[3]Base Costs'!$B$9,'[3]Base Costs'!$B$10*M119))</f>
        <v>1500</v>
      </c>
      <c r="P119" s="252">
        <f>4*C119*'[3]Base Costs'!$B$11</f>
        <v>14586.092774191931</v>
      </c>
      <c r="Q119">
        <f>'[3]Base Costs'!$B$13+'[3]Base Costs'!$B$14</f>
        <v>414</v>
      </c>
      <c r="R119" s="239">
        <f>'[3]Base Costs'!$D$2</f>
        <v>1105.3024868650327</v>
      </c>
      <c r="S119" s="254">
        <f t="shared" si="13"/>
        <v>6700.9034832038151</v>
      </c>
    </row>
    <row r="120" spans="1:19" x14ac:dyDescent="0.25">
      <c r="A120" s="248" t="s">
        <v>988</v>
      </c>
      <c r="B120" s="248" t="s">
        <v>880</v>
      </c>
      <c r="C120" s="249">
        <v>67.248775165789667</v>
      </c>
      <c r="D120" s="250">
        <f>C120*'[3]Base Costs'!$B$5</f>
        <v>67.248775165789667</v>
      </c>
      <c r="E120" s="250">
        <f t="shared" si="7"/>
        <v>9</v>
      </c>
      <c r="F120" s="250">
        <f t="shared" si="8"/>
        <v>2</v>
      </c>
      <c r="G120" s="250">
        <f t="shared" si="9"/>
        <v>1</v>
      </c>
      <c r="H120" s="251">
        <f>4*D120*'[3]Base Costs'!$B$7</f>
        <v>13365.290571549704</v>
      </c>
      <c r="I120" s="252">
        <f>4*IF(E120&lt;=3,E120*'[3]Base Costs'!$B$8,IF(F120&lt;=3,F120*'[3]Base Costs'!$B$9,'[3]Base Costs'!$B$10*G120))</f>
        <v>2800</v>
      </c>
      <c r="J120" s="253">
        <f>C120*'[3]Base Costs'!$B$6</f>
        <v>17.081188892110575</v>
      </c>
      <c r="K120" s="250">
        <f t="shared" si="10"/>
        <v>3</v>
      </c>
      <c r="L120" s="250">
        <f t="shared" si="11"/>
        <v>1</v>
      </c>
      <c r="M120" s="250">
        <f t="shared" si="12"/>
        <v>1</v>
      </c>
      <c r="N120" s="251">
        <f>4*J120*'[3]Base Costs'!$B$7</f>
        <v>3394.7838051736244</v>
      </c>
      <c r="O120" s="252">
        <f>4*IF(K120&lt;=3,K120*'[3]Base Costs'!$B$8,IF(L120&lt;=3,L120*'[3]Base Costs'!$B$9,'[3]Base Costs'!$B$10*M120))</f>
        <v>1500</v>
      </c>
      <c r="P120" s="252">
        <f>4*C120*'[3]Base Costs'!$B$11</f>
        <v>13449.755033157933</v>
      </c>
      <c r="Q120">
        <f>'[3]Base Costs'!$B$13+'[3]Base Costs'!$B$14</f>
        <v>414</v>
      </c>
      <c r="R120" s="239">
        <f>'[3]Base Costs'!$D$2</f>
        <v>1105.3024868650327</v>
      </c>
      <c r="S120" s="254">
        <f t="shared" si="13"/>
        <v>6414.0862920386571</v>
      </c>
    </row>
    <row r="121" spans="1:19" x14ac:dyDescent="0.25">
      <c r="A121" s="248" t="s">
        <v>988</v>
      </c>
      <c r="B121" s="248" t="s">
        <v>990</v>
      </c>
      <c r="C121" s="249">
        <v>105.30083049000004</v>
      </c>
      <c r="D121" s="250">
        <f>C121*'[3]Base Costs'!$B$5</f>
        <v>105.30083049000004</v>
      </c>
      <c r="E121" s="250">
        <f t="shared" si="7"/>
        <v>14</v>
      </c>
      <c r="F121" s="250">
        <f t="shared" si="8"/>
        <v>3</v>
      </c>
      <c r="G121" s="250">
        <f t="shared" si="9"/>
        <v>1</v>
      </c>
      <c r="H121" s="251">
        <f>4*D121*'[3]Base Costs'!$B$7</f>
        <v>20927.908254904571</v>
      </c>
      <c r="I121" s="252">
        <f>4*IF(E121&lt;=3,E121*'[3]Base Costs'!$B$8,IF(F121&lt;=3,F121*'[3]Base Costs'!$B$9,'[3]Base Costs'!$B$10*G121))</f>
        <v>4200</v>
      </c>
      <c r="J121" s="253">
        <f>C121*'[3]Base Costs'!$B$6</f>
        <v>26.74641094446001</v>
      </c>
      <c r="K121" s="250">
        <f t="shared" si="10"/>
        <v>4</v>
      </c>
      <c r="L121" s="250">
        <f t="shared" si="11"/>
        <v>1</v>
      </c>
      <c r="M121" s="250">
        <f t="shared" si="12"/>
        <v>1</v>
      </c>
      <c r="N121" s="251">
        <f>4*J121*'[3]Base Costs'!$B$7</f>
        <v>5315.6886967457613</v>
      </c>
      <c r="O121" s="252">
        <f>4*IF(K121&lt;=3,K121*'[3]Base Costs'!$B$8,IF(L121&lt;=3,L121*'[3]Base Costs'!$B$9,'[3]Base Costs'!$B$10*M121))</f>
        <v>1400</v>
      </c>
      <c r="P121" s="252">
        <f>4*C121*'[3]Base Costs'!$B$11</f>
        <v>21060.166098000009</v>
      </c>
      <c r="Q121">
        <f>'[3]Base Costs'!$B$13+'[3]Base Costs'!$B$14</f>
        <v>414</v>
      </c>
      <c r="R121" s="239">
        <f>'[3]Base Costs'!$D$2</f>
        <v>1105.3024868650327</v>
      </c>
      <c r="S121" s="254">
        <f t="shared" si="13"/>
        <v>8234.9911836107931</v>
      </c>
    </row>
    <row r="122" spans="1:19" x14ac:dyDescent="0.25">
      <c r="A122" s="248" t="s">
        <v>988</v>
      </c>
      <c r="B122" s="248" t="s">
        <v>881</v>
      </c>
      <c r="C122" s="249">
        <v>88.505715107066351</v>
      </c>
      <c r="D122" s="250">
        <f>C122*'[3]Base Costs'!$B$5</f>
        <v>88.505715107066351</v>
      </c>
      <c r="E122" s="250">
        <f t="shared" si="7"/>
        <v>12</v>
      </c>
      <c r="F122" s="250">
        <f t="shared" si="8"/>
        <v>3</v>
      </c>
      <c r="G122" s="250">
        <f t="shared" si="9"/>
        <v>1</v>
      </c>
      <c r="H122" s="251">
        <f>4*D122*'[3]Base Costs'!$B$7</f>
        <v>17589.979843238798</v>
      </c>
      <c r="I122" s="252">
        <f>4*IF(E122&lt;=3,E122*'[3]Base Costs'!$B$8,IF(F122&lt;=3,F122*'[3]Base Costs'!$B$9,'[3]Base Costs'!$B$10*G122))</f>
        <v>4200</v>
      </c>
      <c r="J122" s="253">
        <f>C122*'[3]Base Costs'!$B$6</f>
        <v>22.480451637194854</v>
      </c>
      <c r="K122" s="250">
        <f t="shared" si="10"/>
        <v>3</v>
      </c>
      <c r="L122" s="250">
        <f t="shared" si="11"/>
        <v>1</v>
      </c>
      <c r="M122" s="250">
        <f t="shared" si="12"/>
        <v>1</v>
      </c>
      <c r="N122" s="251">
        <f>4*J122*'[3]Base Costs'!$B$7</f>
        <v>4467.8548801826546</v>
      </c>
      <c r="O122" s="252">
        <f>4*IF(K122&lt;=3,K122*'[3]Base Costs'!$B$8,IF(L122&lt;=3,L122*'[3]Base Costs'!$B$9,'[3]Base Costs'!$B$10*M122))</f>
        <v>1500</v>
      </c>
      <c r="P122" s="252">
        <f>4*C122*'[3]Base Costs'!$B$11</f>
        <v>17701.143021413271</v>
      </c>
      <c r="Q122">
        <f>'[3]Base Costs'!$B$13+'[3]Base Costs'!$B$14</f>
        <v>414</v>
      </c>
      <c r="R122" s="239">
        <f>'[3]Base Costs'!$D$2</f>
        <v>1105.3024868650327</v>
      </c>
      <c r="S122" s="254">
        <f t="shared" si="13"/>
        <v>7487.1573670476873</v>
      </c>
    </row>
    <row r="123" spans="1:19" x14ac:dyDescent="0.25">
      <c r="A123" s="248" t="s">
        <v>988</v>
      </c>
      <c r="B123" s="248" t="s">
        <v>991</v>
      </c>
      <c r="C123" s="249">
        <v>106.8926648862298</v>
      </c>
      <c r="D123" s="250">
        <f>C123*'[3]Base Costs'!$B$5</f>
        <v>106.8926648862298</v>
      </c>
      <c r="E123" s="250">
        <f t="shared" si="7"/>
        <v>14</v>
      </c>
      <c r="F123" s="250">
        <f t="shared" si="8"/>
        <v>3</v>
      </c>
      <c r="G123" s="250">
        <f t="shared" si="9"/>
        <v>1</v>
      </c>
      <c r="H123" s="251">
        <f>4*D123*'[3]Base Costs'!$B$7</f>
        <v>21244.275790148859</v>
      </c>
      <c r="I123" s="252">
        <f>4*IF(E123&lt;=3,E123*'[3]Base Costs'!$B$8,IF(F123&lt;=3,F123*'[3]Base Costs'!$B$9,'[3]Base Costs'!$B$10*G123))</f>
        <v>4200</v>
      </c>
      <c r="J123" s="253">
        <f>C123*'[3]Base Costs'!$B$6</f>
        <v>27.150736881102368</v>
      </c>
      <c r="K123" s="250">
        <f t="shared" si="10"/>
        <v>4</v>
      </c>
      <c r="L123" s="250">
        <f t="shared" si="11"/>
        <v>1</v>
      </c>
      <c r="M123" s="250">
        <f t="shared" si="12"/>
        <v>1</v>
      </c>
      <c r="N123" s="251">
        <f>4*J123*'[3]Base Costs'!$B$7</f>
        <v>5396.0460506978097</v>
      </c>
      <c r="O123" s="252">
        <f>4*IF(K123&lt;=3,K123*'[3]Base Costs'!$B$8,IF(L123&lt;=3,L123*'[3]Base Costs'!$B$9,'[3]Base Costs'!$B$10*M123))</f>
        <v>1400</v>
      </c>
      <c r="P123" s="252">
        <f>4*C123*'[3]Base Costs'!$B$11</f>
        <v>21378.532977245959</v>
      </c>
      <c r="Q123">
        <f>'[3]Base Costs'!$B$13+'[3]Base Costs'!$B$14</f>
        <v>414</v>
      </c>
      <c r="R123" s="239">
        <f>'[3]Base Costs'!$D$2</f>
        <v>1105.3024868650327</v>
      </c>
      <c r="S123" s="254">
        <f t="shared" si="13"/>
        <v>8315.3485375628425</v>
      </c>
    </row>
    <row r="124" spans="1:19" x14ac:dyDescent="0.25">
      <c r="A124" s="248" t="s">
        <v>988</v>
      </c>
      <c r="B124" s="248" t="s">
        <v>992</v>
      </c>
      <c r="C124" s="249">
        <v>101.3215298795519</v>
      </c>
      <c r="D124" s="250">
        <f>C124*'[3]Base Costs'!$B$5</f>
        <v>101.3215298795519</v>
      </c>
      <c r="E124" s="250">
        <f t="shared" si="7"/>
        <v>13</v>
      </c>
      <c r="F124" s="250">
        <f t="shared" si="8"/>
        <v>3</v>
      </c>
      <c r="G124" s="250">
        <f t="shared" si="9"/>
        <v>1</v>
      </c>
      <c r="H124" s="251">
        <f>4*D124*'[3]Base Costs'!$B$7</f>
        <v>20137.046134381668</v>
      </c>
      <c r="I124" s="252">
        <f>4*IF(E124&lt;=3,E124*'[3]Base Costs'!$B$8,IF(F124&lt;=3,F124*'[3]Base Costs'!$B$9,'[3]Base Costs'!$B$10*G124))</f>
        <v>4200</v>
      </c>
      <c r="J124" s="253">
        <f>C124*'[3]Base Costs'!$B$6</f>
        <v>25.735668589406185</v>
      </c>
      <c r="K124" s="250">
        <f t="shared" si="10"/>
        <v>4</v>
      </c>
      <c r="L124" s="250">
        <f t="shared" si="11"/>
        <v>1</v>
      </c>
      <c r="M124" s="250">
        <f t="shared" si="12"/>
        <v>1</v>
      </c>
      <c r="N124" s="251">
        <f>4*J124*'[3]Base Costs'!$B$7</f>
        <v>5114.8097181329431</v>
      </c>
      <c r="O124" s="252">
        <f>4*IF(K124&lt;=3,K124*'[3]Base Costs'!$B$8,IF(L124&lt;=3,L124*'[3]Base Costs'!$B$9,'[3]Base Costs'!$B$10*M124))</f>
        <v>1400</v>
      </c>
      <c r="P124" s="252">
        <f>4*C124*'[3]Base Costs'!$B$11</f>
        <v>20264.305975910382</v>
      </c>
      <c r="Q124">
        <f>'[3]Base Costs'!$B$13+'[3]Base Costs'!$B$14</f>
        <v>414</v>
      </c>
      <c r="R124" s="239">
        <f>'[3]Base Costs'!$D$2</f>
        <v>1105.3024868650327</v>
      </c>
      <c r="S124" s="254">
        <f t="shared" si="13"/>
        <v>8034.1122049979758</v>
      </c>
    </row>
    <row r="125" spans="1:19" x14ac:dyDescent="0.25">
      <c r="A125" s="248" t="s">
        <v>988</v>
      </c>
      <c r="B125" s="248" t="s">
        <v>882</v>
      </c>
      <c r="C125" s="249">
        <v>181.74810091532655</v>
      </c>
      <c r="D125" s="250">
        <f>C125*'[3]Base Costs'!$B$5</f>
        <v>181.74810091532655</v>
      </c>
      <c r="E125" s="250">
        <f t="shared" si="7"/>
        <v>23</v>
      </c>
      <c r="F125" s="250">
        <f t="shared" si="8"/>
        <v>5</v>
      </c>
      <c r="G125" s="250">
        <f t="shared" si="9"/>
        <v>2</v>
      </c>
      <c r="H125" s="251">
        <f>4*D125*'[3]Base Costs'!$B$7</f>
        <v>36121.344568315661</v>
      </c>
      <c r="I125" s="252">
        <f>4*IF(E125&lt;=3,E125*'[3]Base Costs'!$B$8,IF(F125&lt;=3,F125*'[3]Base Costs'!$B$9,'[3]Base Costs'!$B$10*G125))</f>
        <v>8800</v>
      </c>
      <c r="J125" s="253">
        <f>C125*'[3]Base Costs'!$B$6</f>
        <v>46.164017632492943</v>
      </c>
      <c r="K125" s="250">
        <f t="shared" si="10"/>
        <v>6</v>
      </c>
      <c r="L125" s="250">
        <f t="shared" si="11"/>
        <v>2</v>
      </c>
      <c r="M125" s="250">
        <f t="shared" si="12"/>
        <v>1</v>
      </c>
      <c r="N125" s="251">
        <f>4*J125*'[3]Base Costs'!$B$7</f>
        <v>9174.8215203521795</v>
      </c>
      <c r="O125" s="252">
        <f>4*IF(K125&lt;=3,K125*'[3]Base Costs'!$B$8,IF(L125&lt;=3,L125*'[3]Base Costs'!$B$9,'[3]Base Costs'!$B$10*M125))</f>
        <v>2800</v>
      </c>
      <c r="P125" s="252">
        <f>4*C125*'[3]Base Costs'!$B$11</f>
        <v>36349.620183065308</v>
      </c>
      <c r="Q125">
        <f>'[3]Base Costs'!$B$13+'[3]Base Costs'!$B$14</f>
        <v>414</v>
      </c>
      <c r="R125" s="239">
        <f>'[3]Base Costs'!$D$2</f>
        <v>1105.3024868650327</v>
      </c>
      <c r="S125" s="254">
        <f t="shared" si="13"/>
        <v>13494.124007217211</v>
      </c>
    </row>
    <row r="126" spans="1:19" x14ac:dyDescent="0.25">
      <c r="A126" s="248" t="s">
        <v>988</v>
      </c>
      <c r="B126" s="248" t="s">
        <v>883</v>
      </c>
      <c r="C126" s="249">
        <v>337.40546097603425</v>
      </c>
      <c r="D126" s="250">
        <f>C126*'[3]Base Costs'!$B$5</f>
        <v>337.40546097603425</v>
      </c>
      <c r="E126" s="250">
        <f t="shared" si="7"/>
        <v>43</v>
      </c>
      <c r="F126" s="250">
        <f t="shared" si="8"/>
        <v>9</v>
      </c>
      <c r="G126" s="250">
        <f t="shared" si="9"/>
        <v>3</v>
      </c>
      <c r="H126" s="251">
        <f>4*D126*'[3]Base Costs'!$B$7</f>
        <v>67057.310936220965</v>
      </c>
      <c r="I126" s="252">
        <f>4*IF(E126&lt;=3,E126*'[3]Base Costs'!$B$8,IF(F126&lt;=3,F126*'[3]Base Costs'!$B$9,'[3]Base Costs'!$B$10*G126))</f>
        <v>13200</v>
      </c>
      <c r="J126" s="253">
        <f>C126*'[3]Base Costs'!$B$6</f>
        <v>85.700987087912694</v>
      </c>
      <c r="K126" s="250">
        <f t="shared" si="10"/>
        <v>11</v>
      </c>
      <c r="L126" s="250">
        <f t="shared" si="11"/>
        <v>3</v>
      </c>
      <c r="M126" s="250">
        <f t="shared" si="12"/>
        <v>1</v>
      </c>
      <c r="N126" s="251">
        <f>4*J126*'[3]Base Costs'!$B$7</f>
        <v>17032.556977800123</v>
      </c>
      <c r="O126" s="252">
        <f>4*IF(K126&lt;=3,K126*'[3]Base Costs'!$B$8,IF(L126&lt;=3,L126*'[3]Base Costs'!$B$9,'[3]Base Costs'!$B$10*M126))</f>
        <v>4200</v>
      </c>
      <c r="P126" s="252">
        <f>4*C126*'[3]Base Costs'!$B$11</f>
        <v>67481.092195206846</v>
      </c>
      <c r="Q126">
        <f>'[3]Base Costs'!$B$13+'[3]Base Costs'!$B$14</f>
        <v>414</v>
      </c>
      <c r="R126" s="239">
        <f>'[3]Base Costs'!$D$2</f>
        <v>1105.3024868650327</v>
      </c>
      <c r="S126" s="254">
        <f t="shared" si="13"/>
        <v>22751.859464665155</v>
      </c>
    </row>
    <row r="127" spans="1:19" x14ac:dyDescent="0.25">
      <c r="A127" s="248" t="s">
        <v>988</v>
      </c>
      <c r="B127" s="248" t="s">
        <v>884</v>
      </c>
      <c r="C127" s="249">
        <v>188.55709661684364</v>
      </c>
      <c r="D127" s="250">
        <f>C127*'[3]Base Costs'!$B$5</f>
        <v>188.55709661684364</v>
      </c>
      <c r="E127" s="250">
        <f t="shared" si="7"/>
        <v>24</v>
      </c>
      <c r="F127" s="250">
        <f t="shared" si="8"/>
        <v>5</v>
      </c>
      <c r="G127" s="250">
        <f t="shared" si="9"/>
        <v>2</v>
      </c>
      <c r="H127" s="251">
        <f>4*D127*'[3]Base Costs'!$B$7</f>
        <v>37474.591610017975</v>
      </c>
      <c r="I127" s="252">
        <f>4*IF(E127&lt;=3,E127*'[3]Base Costs'!$B$8,IF(F127&lt;=3,F127*'[3]Base Costs'!$B$9,'[3]Base Costs'!$B$10*G127))</f>
        <v>8800</v>
      </c>
      <c r="J127" s="253">
        <f>C127*'[3]Base Costs'!$B$6</f>
        <v>47.893502540678284</v>
      </c>
      <c r="K127" s="250">
        <f t="shared" si="10"/>
        <v>6</v>
      </c>
      <c r="L127" s="250">
        <f t="shared" si="11"/>
        <v>2</v>
      </c>
      <c r="M127" s="250">
        <f t="shared" si="12"/>
        <v>1</v>
      </c>
      <c r="N127" s="251">
        <f>4*J127*'[3]Base Costs'!$B$7</f>
        <v>9518.5462689445667</v>
      </c>
      <c r="O127" s="252">
        <f>4*IF(K127&lt;=3,K127*'[3]Base Costs'!$B$8,IF(L127&lt;=3,L127*'[3]Base Costs'!$B$9,'[3]Base Costs'!$B$10*M127))</f>
        <v>2800</v>
      </c>
      <c r="P127" s="252">
        <f>4*C127*'[3]Base Costs'!$B$11</f>
        <v>37711.419323368726</v>
      </c>
      <c r="Q127">
        <f>'[3]Base Costs'!$B$13+'[3]Base Costs'!$B$14</f>
        <v>414</v>
      </c>
      <c r="R127" s="239">
        <f>'[3]Base Costs'!$D$2</f>
        <v>1105.3024868650327</v>
      </c>
      <c r="S127" s="254">
        <f t="shared" si="13"/>
        <v>13837.848755809599</v>
      </c>
    </row>
    <row r="128" spans="1:19" x14ac:dyDescent="0.25">
      <c r="A128" s="248" t="s">
        <v>988</v>
      </c>
      <c r="B128" s="248" t="s">
        <v>885</v>
      </c>
      <c r="C128" s="249">
        <v>195.660479276713</v>
      </c>
      <c r="D128" s="250">
        <f>C128*'[3]Base Costs'!$B$5</f>
        <v>195.660479276713</v>
      </c>
      <c r="E128" s="250">
        <f t="shared" si="7"/>
        <v>25</v>
      </c>
      <c r="F128" s="250">
        <f t="shared" si="8"/>
        <v>5</v>
      </c>
      <c r="G128" s="250">
        <f t="shared" si="9"/>
        <v>2</v>
      </c>
      <c r="H128" s="251">
        <f>4*D128*'[3]Base Costs'!$B$7</f>
        <v>38886.346293371054</v>
      </c>
      <c r="I128" s="252">
        <f>4*IF(E128&lt;=3,E128*'[3]Base Costs'!$B$8,IF(F128&lt;=3,F128*'[3]Base Costs'!$B$9,'[3]Base Costs'!$B$10*G128))</f>
        <v>8800</v>
      </c>
      <c r="J128" s="253">
        <f>C128*'[3]Base Costs'!$B$6</f>
        <v>49.697761736285102</v>
      </c>
      <c r="K128" s="250">
        <f t="shared" si="10"/>
        <v>7</v>
      </c>
      <c r="L128" s="250">
        <f t="shared" si="11"/>
        <v>2</v>
      </c>
      <c r="M128" s="250">
        <f t="shared" si="12"/>
        <v>1</v>
      </c>
      <c r="N128" s="251">
        <f>4*J128*'[3]Base Costs'!$B$7</f>
        <v>9877.1319585162473</v>
      </c>
      <c r="O128" s="252">
        <f>4*IF(K128&lt;=3,K128*'[3]Base Costs'!$B$8,IF(L128&lt;=3,L128*'[3]Base Costs'!$B$9,'[3]Base Costs'!$B$10*M128))</f>
        <v>2800</v>
      </c>
      <c r="P128" s="252">
        <f>4*C128*'[3]Base Costs'!$B$11</f>
        <v>39132.095855342603</v>
      </c>
      <c r="Q128">
        <f>'[3]Base Costs'!$B$13+'[3]Base Costs'!$B$14</f>
        <v>414</v>
      </c>
      <c r="R128" s="239">
        <f>'[3]Base Costs'!$D$2</f>
        <v>1105.3024868650327</v>
      </c>
      <c r="S128" s="254">
        <f t="shared" si="13"/>
        <v>14196.434445381281</v>
      </c>
    </row>
    <row r="129" spans="1:19" x14ac:dyDescent="0.25">
      <c r="A129" s="248" t="s">
        <v>988</v>
      </c>
      <c r="B129" s="248" t="s">
        <v>886</v>
      </c>
      <c r="C129" s="249">
        <v>103.86332665481439</v>
      </c>
      <c r="D129" s="250">
        <f>C129*'[3]Base Costs'!$B$5</f>
        <v>103.86332665481439</v>
      </c>
      <c r="E129" s="250">
        <f t="shared" si="7"/>
        <v>13</v>
      </c>
      <c r="F129" s="250">
        <f t="shared" si="8"/>
        <v>3</v>
      </c>
      <c r="G129" s="250">
        <f t="shared" si="9"/>
        <v>1</v>
      </c>
      <c r="H129" s="251">
        <f>4*D129*'[3]Base Costs'!$B$7</f>
        <v>20642.212992684432</v>
      </c>
      <c r="I129" s="252">
        <f>4*IF(E129&lt;=3,E129*'[3]Base Costs'!$B$8,IF(F129&lt;=3,F129*'[3]Base Costs'!$B$9,'[3]Base Costs'!$B$10*G129))</f>
        <v>4200</v>
      </c>
      <c r="J129" s="253">
        <f>C129*'[3]Base Costs'!$B$6</f>
        <v>26.381284970322856</v>
      </c>
      <c r="K129" s="250">
        <f t="shared" si="10"/>
        <v>4</v>
      </c>
      <c r="L129" s="250">
        <f t="shared" si="11"/>
        <v>1</v>
      </c>
      <c r="M129" s="250">
        <f t="shared" si="12"/>
        <v>1</v>
      </c>
      <c r="N129" s="251">
        <f>4*J129*'[3]Base Costs'!$B$7</f>
        <v>5243.1221001418462</v>
      </c>
      <c r="O129" s="252">
        <f>4*IF(K129&lt;=3,K129*'[3]Base Costs'!$B$8,IF(L129&lt;=3,L129*'[3]Base Costs'!$B$9,'[3]Base Costs'!$B$10*M129))</f>
        <v>1400</v>
      </c>
      <c r="P129" s="252">
        <f>4*C129*'[3]Base Costs'!$B$11</f>
        <v>20772.665330962878</v>
      </c>
      <c r="Q129">
        <f>'[3]Base Costs'!$B$13+'[3]Base Costs'!$B$14</f>
        <v>414</v>
      </c>
      <c r="R129" s="239">
        <f>'[3]Base Costs'!$D$2</f>
        <v>1105.3024868650327</v>
      </c>
      <c r="S129" s="254">
        <f t="shared" si="13"/>
        <v>8162.4245870068789</v>
      </c>
    </row>
    <row r="130" spans="1:19" x14ac:dyDescent="0.25">
      <c r="A130" s="248" t="s">
        <v>988</v>
      </c>
      <c r="B130" s="248" t="s">
        <v>887</v>
      </c>
      <c r="C130" s="249">
        <v>140.69015150153439</v>
      </c>
      <c r="D130" s="250">
        <f>C130*'[3]Base Costs'!$B$5</f>
        <v>140.69015150153439</v>
      </c>
      <c r="E130" s="250">
        <f t="shared" si="7"/>
        <v>18</v>
      </c>
      <c r="F130" s="250">
        <f t="shared" si="8"/>
        <v>4</v>
      </c>
      <c r="G130" s="250">
        <f t="shared" si="9"/>
        <v>1</v>
      </c>
      <c r="H130" s="251">
        <f>4*D130*'[3]Base Costs'!$B$7</f>
        <v>27961.323470020954</v>
      </c>
      <c r="I130" s="252">
        <f>4*IF(E130&lt;=3,E130*'[3]Base Costs'!$B$8,IF(F130&lt;=3,F130*'[3]Base Costs'!$B$9,'[3]Base Costs'!$B$10*G130))</f>
        <v>4400</v>
      </c>
      <c r="J130" s="253">
        <f>C130*'[3]Base Costs'!$B$6</f>
        <v>35.735298481389734</v>
      </c>
      <c r="K130" s="250">
        <f t="shared" si="10"/>
        <v>5</v>
      </c>
      <c r="L130" s="250">
        <f t="shared" si="11"/>
        <v>1</v>
      </c>
      <c r="M130" s="250">
        <f t="shared" si="12"/>
        <v>1</v>
      </c>
      <c r="N130" s="251">
        <f>4*J130*'[3]Base Costs'!$B$7</f>
        <v>7102.1761613853223</v>
      </c>
      <c r="O130" s="252">
        <f>4*IF(K130&lt;=3,K130*'[3]Base Costs'!$B$8,IF(L130&lt;=3,L130*'[3]Base Costs'!$B$9,'[3]Base Costs'!$B$10*M130))</f>
        <v>1400</v>
      </c>
      <c r="P130" s="252">
        <f>4*C130*'[3]Base Costs'!$B$11</f>
        <v>28138.030300306877</v>
      </c>
      <c r="Q130">
        <f>'[3]Base Costs'!$B$13+'[3]Base Costs'!$B$14</f>
        <v>414</v>
      </c>
      <c r="R130" s="239">
        <f>'[3]Base Costs'!$D$2</f>
        <v>1105.3024868650327</v>
      </c>
      <c r="S130" s="254">
        <f t="shared" si="13"/>
        <v>10021.478648250355</v>
      </c>
    </row>
    <row r="131" spans="1:19" x14ac:dyDescent="0.25">
      <c r="A131" s="248" t="s">
        <v>988</v>
      </c>
      <c r="B131" s="248" t="s">
        <v>888</v>
      </c>
      <c r="C131" s="249">
        <v>118.99983748000001</v>
      </c>
      <c r="D131" s="250">
        <f>C131*'[3]Base Costs'!$B$5</f>
        <v>118.99983748000001</v>
      </c>
      <c r="E131" s="250">
        <f t="shared" si="7"/>
        <v>15</v>
      </c>
      <c r="F131" s="250">
        <f t="shared" si="8"/>
        <v>3</v>
      </c>
      <c r="G131" s="250">
        <f t="shared" si="9"/>
        <v>1</v>
      </c>
      <c r="H131" s="251">
        <f>4*D131*'[3]Base Costs'!$B$7</f>
        <v>23650.503700125126</v>
      </c>
      <c r="I131" s="252">
        <f>4*IF(E131&lt;=3,E131*'[3]Base Costs'!$B$8,IF(F131&lt;=3,F131*'[3]Base Costs'!$B$9,'[3]Base Costs'!$B$10*G131))</f>
        <v>4200</v>
      </c>
      <c r="J131" s="253">
        <f>C131*'[3]Base Costs'!$B$6</f>
        <v>30.225958719920005</v>
      </c>
      <c r="K131" s="250">
        <f t="shared" si="10"/>
        <v>4</v>
      </c>
      <c r="L131" s="250">
        <f t="shared" si="11"/>
        <v>1</v>
      </c>
      <c r="M131" s="250">
        <f t="shared" si="12"/>
        <v>1</v>
      </c>
      <c r="N131" s="251">
        <f>4*J131*'[3]Base Costs'!$B$7</f>
        <v>6007.2279398317824</v>
      </c>
      <c r="O131" s="252">
        <f>4*IF(K131&lt;=3,K131*'[3]Base Costs'!$B$8,IF(L131&lt;=3,L131*'[3]Base Costs'!$B$9,'[3]Base Costs'!$B$10*M131))</f>
        <v>1400</v>
      </c>
      <c r="P131" s="252">
        <f>4*C131*'[3]Base Costs'!$B$11</f>
        <v>23799.967496000001</v>
      </c>
      <c r="Q131">
        <f>'[3]Base Costs'!$B$13+'[3]Base Costs'!$B$14</f>
        <v>414</v>
      </c>
      <c r="R131" s="239">
        <f>'[3]Base Costs'!$D$2</f>
        <v>1105.3024868650327</v>
      </c>
      <c r="S131" s="254">
        <f t="shared" si="13"/>
        <v>8926.530426696816</v>
      </c>
    </row>
    <row r="132" spans="1:19" x14ac:dyDescent="0.25">
      <c r="A132" s="248" t="s">
        <v>988</v>
      </c>
      <c r="B132" s="248" t="s">
        <v>889</v>
      </c>
      <c r="C132" s="249">
        <v>157.26655432876356</v>
      </c>
      <c r="D132" s="250">
        <f>C132*'[3]Base Costs'!$B$5</f>
        <v>157.26655432876356</v>
      </c>
      <c r="E132" s="250">
        <f t="shared" ref="E132:E195" si="14">ROUNDUP(D132/8,0)</f>
        <v>20</v>
      </c>
      <c r="F132" s="250">
        <f t="shared" ref="F132:F195" si="15">ROUNDUP(D132/40,0)</f>
        <v>4</v>
      </c>
      <c r="G132" s="250">
        <f t="shared" ref="G132:G195" si="16">ROUNDUP(D132/(40*4),0)</f>
        <v>1</v>
      </c>
      <c r="H132" s="251">
        <f>4*D132*'[3]Base Costs'!$B$7</f>
        <v>31255.784073515788</v>
      </c>
      <c r="I132" s="252">
        <f>4*IF(E132&lt;=3,E132*'[3]Base Costs'!$B$8,IF(F132&lt;=3,F132*'[3]Base Costs'!$B$9,'[3]Base Costs'!$B$10*G132))</f>
        <v>4400</v>
      </c>
      <c r="J132" s="253">
        <f>C132*'[3]Base Costs'!$B$6</f>
        <v>39.945704799505947</v>
      </c>
      <c r="K132" s="250">
        <f t="shared" ref="K132:K195" si="17">ROUNDUP(J132/8,0)</f>
        <v>5</v>
      </c>
      <c r="L132" s="250">
        <f t="shared" ref="L132:L195" si="18">ROUNDUP(J132/40,0)</f>
        <v>1</v>
      </c>
      <c r="M132" s="250">
        <f t="shared" ref="M132:M195" si="19">ROUNDUP(J132/(40*4),0)</f>
        <v>1</v>
      </c>
      <c r="N132" s="251">
        <f>4*J132*'[3]Base Costs'!$B$7</f>
        <v>7938.969154673011</v>
      </c>
      <c r="O132" s="252">
        <f>4*IF(K132&lt;=3,K132*'[3]Base Costs'!$B$8,IF(L132&lt;=3,L132*'[3]Base Costs'!$B$9,'[3]Base Costs'!$B$10*M132))</f>
        <v>1400</v>
      </c>
      <c r="P132" s="252">
        <f>4*C132*'[3]Base Costs'!$B$11</f>
        <v>31453.310865752712</v>
      </c>
      <c r="Q132">
        <f>'[3]Base Costs'!$B$13+'[3]Base Costs'!$B$14</f>
        <v>414</v>
      </c>
      <c r="R132" s="239">
        <f>'[3]Base Costs'!$D$2</f>
        <v>1105.3024868650327</v>
      </c>
      <c r="S132" s="254">
        <f t="shared" ref="S132:S195" si="20">R132+Q132+N132+O132</f>
        <v>10858.271641538044</v>
      </c>
    </row>
    <row r="133" spans="1:19" x14ac:dyDescent="0.25">
      <c r="A133" s="248" t="s">
        <v>988</v>
      </c>
      <c r="B133" s="248" t="s">
        <v>890</v>
      </c>
      <c r="C133" s="249">
        <v>322.27632811570192</v>
      </c>
      <c r="D133" s="250">
        <f>C133*'[3]Base Costs'!$B$5</f>
        <v>322.27632811570192</v>
      </c>
      <c r="E133" s="250">
        <f t="shared" si="14"/>
        <v>41</v>
      </c>
      <c r="F133" s="250">
        <f t="shared" si="15"/>
        <v>9</v>
      </c>
      <c r="G133" s="250">
        <f t="shared" si="16"/>
        <v>3</v>
      </c>
      <c r="H133" s="251">
        <f>4*D133*'[3]Base Costs'!$B$7</f>
        <v>64050.48655502707</v>
      </c>
      <c r="I133" s="252">
        <f>4*IF(E133&lt;=3,E133*'[3]Base Costs'!$B$8,IF(F133&lt;=3,F133*'[3]Base Costs'!$B$9,'[3]Base Costs'!$B$10*G133))</f>
        <v>13200</v>
      </c>
      <c r="J133" s="253">
        <f>C133*'[3]Base Costs'!$B$6</f>
        <v>81.858187341388287</v>
      </c>
      <c r="K133" s="250">
        <f t="shared" si="17"/>
        <v>11</v>
      </c>
      <c r="L133" s="250">
        <f t="shared" si="18"/>
        <v>3</v>
      </c>
      <c r="M133" s="250">
        <f t="shared" si="19"/>
        <v>1</v>
      </c>
      <c r="N133" s="251">
        <f>4*J133*'[3]Base Costs'!$B$7</f>
        <v>16268.823584976875</v>
      </c>
      <c r="O133" s="252">
        <f>4*IF(K133&lt;=3,K133*'[3]Base Costs'!$B$8,IF(L133&lt;=3,L133*'[3]Base Costs'!$B$9,'[3]Base Costs'!$B$10*M133))</f>
        <v>4200</v>
      </c>
      <c r="P133" s="252">
        <f>4*C133*'[3]Base Costs'!$B$11</f>
        <v>64455.265623140382</v>
      </c>
      <c r="Q133">
        <f>'[3]Base Costs'!$B$13+'[3]Base Costs'!$B$14</f>
        <v>414</v>
      </c>
      <c r="R133" s="239">
        <f>'[3]Base Costs'!$D$2</f>
        <v>1105.3024868650327</v>
      </c>
      <c r="S133" s="254">
        <f t="shared" si="20"/>
        <v>21988.126071841907</v>
      </c>
    </row>
    <row r="134" spans="1:19" x14ac:dyDescent="0.25">
      <c r="A134" s="248" t="s">
        <v>988</v>
      </c>
      <c r="B134" s="248" t="s">
        <v>891</v>
      </c>
      <c r="C134" s="249">
        <v>304.42153626976796</v>
      </c>
      <c r="D134" s="250">
        <f>C134*'[3]Base Costs'!$B$5</f>
        <v>304.42153626976796</v>
      </c>
      <c r="E134" s="250">
        <f t="shared" si="14"/>
        <v>39</v>
      </c>
      <c r="F134" s="250">
        <f t="shared" si="15"/>
        <v>8</v>
      </c>
      <c r="G134" s="250">
        <f t="shared" si="16"/>
        <v>2</v>
      </c>
      <c r="H134" s="251">
        <f>4*D134*'[3]Base Costs'!$B$7</f>
        <v>60501.95380439877</v>
      </c>
      <c r="I134" s="252">
        <f>4*IF(E134&lt;=3,E134*'[3]Base Costs'!$B$8,IF(F134&lt;=3,F134*'[3]Base Costs'!$B$9,'[3]Base Costs'!$B$10*G134))</f>
        <v>8800</v>
      </c>
      <c r="J134" s="253">
        <f>C134*'[3]Base Costs'!$B$6</f>
        <v>77.32307021252106</v>
      </c>
      <c r="K134" s="250">
        <f t="shared" si="17"/>
        <v>10</v>
      </c>
      <c r="L134" s="250">
        <f t="shared" si="18"/>
        <v>2</v>
      </c>
      <c r="M134" s="250">
        <f t="shared" si="19"/>
        <v>1</v>
      </c>
      <c r="N134" s="251">
        <f>4*J134*'[3]Base Costs'!$B$7</f>
        <v>15367.496266317288</v>
      </c>
      <c r="O134" s="252">
        <f>4*IF(K134&lt;=3,K134*'[3]Base Costs'!$B$8,IF(L134&lt;=3,L134*'[3]Base Costs'!$B$9,'[3]Base Costs'!$B$10*M134))</f>
        <v>2800</v>
      </c>
      <c r="P134" s="252">
        <f>4*C134*'[3]Base Costs'!$B$11</f>
        <v>60884.307253953593</v>
      </c>
      <c r="Q134">
        <f>'[3]Base Costs'!$B$13+'[3]Base Costs'!$B$14</f>
        <v>414</v>
      </c>
      <c r="R134" s="239">
        <f>'[3]Base Costs'!$D$2</f>
        <v>1105.3024868650327</v>
      </c>
      <c r="S134" s="254">
        <f t="shared" si="20"/>
        <v>19686.79875318232</v>
      </c>
    </row>
    <row r="135" spans="1:19" x14ac:dyDescent="0.25">
      <c r="A135" s="248" t="s">
        <v>988</v>
      </c>
      <c r="B135" s="248" t="s">
        <v>892</v>
      </c>
      <c r="C135" s="249">
        <v>113.16338214717844</v>
      </c>
      <c r="D135" s="250">
        <f>C135*'[3]Base Costs'!$B$5</f>
        <v>113.16338214717844</v>
      </c>
      <c r="E135" s="250">
        <f t="shared" si="14"/>
        <v>15</v>
      </c>
      <c r="F135" s="250">
        <f t="shared" si="15"/>
        <v>3</v>
      </c>
      <c r="G135" s="250">
        <f t="shared" si="16"/>
        <v>1</v>
      </c>
      <c r="H135" s="251">
        <f>4*D135*'[3]Base Costs'!$B$7</f>
        <v>22490.543221458836</v>
      </c>
      <c r="I135" s="252">
        <f>4*IF(E135&lt;=3,E135*'[3]Base Costs'!$B$8,IF(F135&lt;=3,F135*'[3]Base Costs'!$B$9,'[3]Base Costs'!$B$10*G135))</f>
        <v>4200</v>
      </c>
      <c r="J135" s="253">
        <f>C135*'[3]Base Costs'!$B$6</f>
        <v>28.743499065383325</v>
      </c>
      <c r="K135" s="250">
        <f t="shared" si="17"/>
        <v>4</v>
      </c>
      <c r="L135" s="250">
        <f t="shared" si="18"/>
        <v>1</v>
      </c>
      <c r="M135" s="250">
        <f t="shared" si="19"/>
        <v>1</v>
      </c>
      <c r="N135" s="251">
        <f>4*J135*'[3]Base Costs'!$B$7</f>
        <v>5712.5979782505447</v>
      </c>
      <c r="O135" s="252">
        <f>4*IF(K135&lt;=3,K135*'[3]Base Costs'!$B$8,IF(L135&lt;=3,L135*'[3]Base Costs'!$B$9,'[3]Base Costs'!$B$10*M135))</f>
        <v>1400</v>
      </c>
      <c r="P135" s="252">
        <f>4*C135*'[3]Base Costs'!$B$11</f>
        <v>22632.676429435687</v>
      </c>
      <c r="Q135">
        <f>'[3]Base Costs'!$B$13+'[3]Base Costs'!$B$14</f>
        <v>414</v>
      </c>
      <c r="R135" s="239">
        <f>'[3]Base Costs'!$D$2</f>
        <v>1105.3024868650327</v>
      </c>
      <c r="S135" s="254">
        <f t="shared" si="20"/>
        <v>8631.9004651155774</v>
      </c>
    </row>
    <row r="136" spans="1:19" x14ac:dyDescent="0.25">
      <c r="A136" s="248" t="s">
        <v>988</v>
      </c>
      <c r="B136" s="248" t="s">
        <v>893</v>
      </c>
      <c r="C136" s="249">
        <v>76.934951075436913</v>
      </c>
      <c r="D136" s="250">
        <f>C136*'[3]Base Costs'!$B$5</f>
        <v>76.934951075436913</v>
      </c>
      <c r="E136" s="250">
        <f t="shared" si="14"/>
        <v>10</v>
      </c>
      <c r="F136" s="250">
        <f t="shared" si="15"/>
        <v>2</v>
      </c>
      <c r="G136" s="250">
        <f t="shared" si="16"/>
        <v>1</v>
      </c>
      <c r="H136" s="251">
        <f>4*D136*'[3]Base Costs'!$B$7</f>
        <v>15290.359916536636</v>
      </c>
      <c r="I136" s="252">
        <f>4*IF(E136&lt;=3,E136*'[3]Base Costs'!$B$8,IF(F136&lt;=3,F136*'[3]Base Costs'!$B$9,'[3]Base Costs'!$B$10*G136))</f>
        <v>2800</v>
      </c>
      <c r="J136" s="253">
        <f>C136*'[3]Base Costs'!$B$6</f>
        <v>19.541477573160975</v>
      </c>
      <c r="K136" s="250">
        <f t="shared" si="17"/>
        <v>3</v>
      </c>
      <c r="L136" s="250">
        <f t="shared" si="18"/>
        <v>1</v>
      </c>
      <c r="M136" s="250">
        <f t="shared" si="19"/>
        <v>1</v>
      </c>
      <c r="N136" s="251">
        <f>4*J136*'[3]Base Costs'!$B$7</f>
        <v>3883.7514188003056</v>
      </c>
      <c r="O136" s="252">
        <f>4*IF(K136&lt;=3,K136*'[3]Base Costs'!$B$8,IF(L136&lt;=3,L136*'[3]Base Costs'!$B$9,'[3]Base Costs'!$B$10*M136))</f>
        <v>1500</v>
      </c>
      <c r="P136" s="252">
        <f>4*C136*'[3]Base Costs'!$B$11</f>
        <v>15386.990215087382</v>
      </c>
      <c r="Q136">
        <f>'[3]Base Costs'!$B$13+'[3]Base Costs'!$B$14</f>
        <v>414</v>
      </c>
      <c r="R136" s="239">
        <f>'[3]Base Costs'!$D$2</f>
        <v>1105.3024868650327</v>
      </c>
      <c r="S136" s="254">
        <f t="shared" si="20"/>
        <v>6903.0539056653379</v>
      </c>
    </row>
    <row r="137" spans="1:19" x14ac:dyDescent="0.25">
      <c r="A137" s="248" t="s">
        <v>988</v>
      </c>
      <c r="B137" s="248" t="s">
        <v>894</v>
      </c>
      <c r="C137" s="249">
        <v>90.016658421579308</v>
      </c>
      <c r="D137" s="250">
        <f>C137*'[3]Base Costs'!$B$5</f>
        <v>90.016658421579308</v>
      </c>
      <c r="E137" s="250">
        <f t="shared" si="14"/>
        <v>12</v>
      </c>
      <c r="F137" s="250">
        <f t="shared" si="15"/>
        <v>3</v>
      </c>
      <c r="G137" s="250">
        <f t="shared" si="16"/>
        <v>1</v>
      </c>
      <c r="H137" s="251">
        <f>4*D137*'[3]Base Costs'!$B$7</f>
        <v>17890.270761338361</v>
      </c>
      <c r="I137" s="252">
        <f>4*IF(E137&lt;=3,E137*'[3]Base Costs'!$B$8,IF(F137&lt;=3,F137*'[3]Base Costs'!$B$9,'[3]Base Costs'!$B$10*G137))</f>
        <v>4200</v>
      </c>
      <c r="J137" s="253">
        <f>C137*'[3]Base Costs'!$B$6</f>
        <v>22.864231239081146</v>
      </c>
      <c r="K137" s="250">
        <f t="shared" si="17"/>
        <v>3</v>
      </c>
      <c r="L137" s="250">
        <f t="shared" si="18"/>
        <v>1</v>
      </c>
      <c r="M137" s="250">
        <f t="shared" si="19"/>
        <v>1</v>
      </c>
      <c r="N137" s="251">
        <f>4*J137*'[3]Base Costs'!$B$7</f>
        <v>4544.1287733799436</v>
      </c>
      <c r="O137" s="252">
        <f>4*IF(K137&lt;=3,K137*'[3]Base Costs'!$B$8,IF(L137&lt;=3,L137*'[3]Base Costs'!$B$9,'[3]Base Costs'!$B$10*M137))</f>
        <v>1500</v>
      </c>
      <c r="P137" s="252">
        <f>4*C137*'[3]Base Costs'!$B$11</f>
        <v>18003.331684315861</v>
      </c>
      <c r="Q137">
        <f>'[3]Base Costs'!$B$13+'[3]Base Costs'!$B$14</f>
        <v>414</v>
      </c>
      <c r="R137" s="239">
        <f>'[3]Base Costs'!$D$2</f>
        <v>1105.3024868650327</v>
      </c>
      <c r="S137" s="254">
        <f t="shared" si="20"/>
        <v>7563.4312602449763</v>
      </c>
    </row>
    <row r="138" spans="1:19" x14ac:dyDescent="0.25">
      <c r="A138" s="248" t="s">
        <v>988</v>
      </c>
      <c r="B138" s="248" t="s">
        <v>895</v>
      </c>
      <c r="C138" s="249">
        <v>210.43355266449706</v>
      </c>
      <c r="D138" s="250">
        <f>C138*'[3]Base Costs'!$B$5</f>
        <v>210.43355266449706</v>
      </c>
      <c r="E138" s="250">
        <f t="shared" si="14"/>
        <v>27</v>
      </c>
      <c r="F138" s="250">
        <f t="shared" si="15"/>
        <v>6</v>
      </c>
      <c r="G138" s="250">
        <f t="shared" si="16"/>
        <v>2</v>
      </c>
      <c r="H138" s="251">
        <f>4*D138*'[3]Base Costs'!$B$7</f>
        <v>41822.405990752806</v>
      </c>
      <c r="I138" s="252">
        <f>4*IF(E138&lt;=3,E138*'[3]Base Costs'!$B$8,IF(F138&lt;=3,F138*'[3]Base Costs'!$B$9,'[3]Base Costs'!$B$10*G138))</f>
        <v>8800</v>
      </c>
      <c r="J138" s="253">
        <f>C138*'[3]Base Costs'!$B$6</f>
        <v>53.450122376782254</v>
      </c>
      <c r="K138" s="250">
        <f t="shared" si="17"/>
        <v>7</v>
      </c>
      <c r="L138" s="250">
        <f t="shared" si="18"/>
        <v>2</v>
      </c>
      <c r="M138" s="250">
        <f t="shared" si="19"/>
        <v>1</v>
      </c>
      <c r="N138" s="251">
        <f>4*J138*'[3]Base Costs'!$B$7</f>
        <v>10622.891121651213</v>
      </c>
      <c r="O138" s="252">
        <f>4*IF(K138&lt;=3,K138*'[3]Base Costs'!$B$8,IF(L138&lt;=3,L138*'[3]Base Costs'!$B$9,'[3]Base Costs'!$B$10*M138))</f>
        <v>2800</v>
      </c>
      <c r="P138" s="252">
        <f>4*C138*'[3]Base Costs'!$B$11</f>
        <v>42086.710532899415</v>
      </c>
      <c r="Q138">
        <f>'[3]Base Costs'!$B$13+'[3]Base Costs'!$B$14</f>
        <v>414</v>
      </c>
      <c r="R138" s="239">
        <f>'[3]Base Costs'!$D$2</f>
        <v>1105.3024868650327</v>
      </c>
      <c r="S138" s="254">
        <f t="shared" si="20"/>
        <v>14942.193608516245</v>
      </c>
    </row>
    <row r="139" spans="1:19" x14ac:dyDescent="0.25">
      <c r="A139" s="248" t="s">
        <v>988</v>
      </c>
      <c r="B139" s="248" t="s">
        <v>896</v>
      </c>
      <c r="C139" s="249">
        <v>76.84829452797004</v>
      </c>
      <c r="D139" s="250">
        <f>C139*'[3]Base Costs'!$B$5</f>
        <v>76.84829452797004</v>
      </c>
      <c r="E139" s="250">
        <f t="shared" si="14"/>
        <v>10</v>
      </c>
      <c r="F139" s="250">
        <f t="shared" si="15"/>
        <v>2</v>
      </c>
      <c r="G139" s="250">
        <f t="shared" si="16"/>
        <v>1</v>
      </c>
      <c r="H139" s="251">
        <f>4*D139*'[3]Base Costs'!$B$7</f>
        <v>15273.137447666881</v>
      </c>
      <c r="I139" s="252">
        <f>4*IF(E139&lt;=3,E139*'[3]Base Costs'!$B$8,IF(F139&lt;=3,F139*'[3]Base Costs'!$B$9,'[3]Base Costs'!$B$10*G139))</f>
        <v>2800</v>
      </c>
      <c r="J139" s="253">
        <f>C139*'[3]Base Costs'!$B$6</f>
        <v>19.51946681010439</v>
      </c>
      <c r="K139" s="250">
        <f t="shared" si="17"/>
        <v>3</v>
      </c>
      <c r="L139" s="250">
        <f t="shared" si="18"/>
        <v>1</v>
      </c>
      <c r="M139" s="250">
        <f t="shared" si="19"/>
        <v>1</v>
      </c>
      <c r="N139" s="251">
        <f>4*J139*'[3]Base Costs'!$B$7</f>
        <v>3879.3769117073875</v>
      </c>
      <c r="O139" s="252">
        <f>4*IF(K139&lt;=3,K139*'[3]Base Costs'!$B$8,IF(L139&lt;=3,L139*'[3]Base Costs'!$B$9,'[3]Base Costs'!$B$10*M139))</f>
        <v>1500</v>
      </c>
      <c r="P139" s="252">
        <f>4*C139*'[3]Base Costs'!$B$11</f>
        <v>15369.658905594008</v>
      </c>
      <c r="Q139">
        <f>'[3]Base Costs'!$B$13+'[3]Base Costs'!$B$14</f>
        <v>414</v>
      </c>
      <c r="R139" s="239">
        <f>'[3]Base Costs'!$D$2</f>
        <v>1105.3024868650327</v>
      </c>
      <c r="S139" s="254">
        <f t="shared" si="20"/>
        <v>6898.6793985724198</v>
      </c>
    </row>
    <row r="140" spans="1:19" x14ac:dyDescent="0.25">
      <c r="A140" s="248" t="s">
        <v>988</v>
      </c>
      <c r="B140" s="248" t="s">
        <v>897</v>
      </c>
      <c r="C140" s="249">
        <v>221.82226734534515</v>
      </c>
      <c r="D140" s="250">
        <f>C140*'[3]Base Costs'!$B$5</f>
        <v>221.82226734534515</v>
      </c>
      <c r="E140" s="250">
        <f t="shared" si="14"/>
        <v>28</v>
      </c>
      <c r="F140" s="250">
        <f t="shared" si="15"/>
        <v>6</v>
      </c>
      <c r="G140" s="250">
        <f t="shared" si="16"/>
        <v>2</v>
      </c>
      <c r="H140" s="251">
        <f>4*D140*'[3]Base Costs'!$B$7</f>
        <v>44085.844701283284</v>
      </c>
      <c r="I140" s="252">
        <f>4*IF(E140&lt;=3,E140*'[3]Base Costs'!$B$8,IF(F140&lt;=3,F140*'[3]Base Costs'!$B$9,'[3]Base Costs'!$B$10*G140))</f>
        <v>8800</v>
      </c>
      <c r="J140" s="253">
        <f>C140*'[3]Base Costs'!$B$6</f>
        <v>56.34285590571767</v>
      </c>
      <c r="K140" s="250">
        <f t="shared" si="17"/>
        <v>8</v>
      </c>
      <c r="L140" s="250">
        <f t="shared" si="18"/>
        <v>2</v>
      </c>
      <c r="M140" s="250">
        <f t="shared" si="19"/>
        <v>1</v>
      </c>
      <c r="N140" s="251">
        <f>4*J140*'[3]Base Costs'!$B$7</f>
        <v>11197.804554125954</v>
      </c>
      <c r="O140" s="252">
        <f>4*IF(K140&lt;=3,K140*'[3]Base Costs'!$B$8,IF(L140&lt;=3,L140*'[3]Base Costs'!$B$9,'[3]Base Costs'!$B$10*M140))</f>
        <v>2800</v>
      </c>
      <c r="P140" s="252">
        <f>4*C140*'[3]Base Costs'!$B$11</f>
        <v>44364.453469069034</v>
      </c>
      <c r="Q140">
        <f>'[3]Base Costs'!$B$13+'[3]Base Costs'!$B$14</f>
        <v>414</v>
      </c>
      <c r="R140" s="239">
        <f>'[3]Base Costs'!$D$2</f>
        <v>1105.3024868650327</v>
      </c>
      <c r="S140" s="254">
        <f t="shared" si="20"/>
        <v>15517.107040990988</v>
      </c>
    </row>
    <row r="141" spans="1:19" x14ac:dyDescent="0.25">
      <c r="A141" s="248" t="s">
        <v>988</v>
      </c>
      <c r="B141" s="248" t="s">
        <v>898</v>
      </c>
      <c r="C141" s="249">
        <v>325.47624526331674</v>
      </c>
      <c r="D141" s="250">
        <f>C141*'[3]Base Costs'!$B$5</f>
        <v>325.47624526331674</v>
      </c>
      <c r="E141" s="250">
        <f t="shared" si="14"/>
        <v>41</v>
      </c>
      <c r="F141" s="250">
        <f t="shared" si="15"/>
        <v>9</v>
      </c>
      <c r="G141" s="250">
        <f t="shared" si="16"/>
        <v>3</v>
      </c>
      <c r="H141" s="251">
        <f>4*D141*'[3]Base Costs'!$B$7</f>
        <v>64686.450888612635</v>
      </c>
      <c r="I141" s="252">
        <f>4*IF(E141&lt;=3,E141*'[3]Base Costs'!$B$8,IF(F141&lt;=3,F141*'[3]Base Costs'!$B$9,'[3]Base Costs'!$B$10*G141))</f>
        <v>13200</v>
      </c>
      <c r="J141" s="253">
        <f>C141*'[3]Base Costs'!$B$6</f>
        <v>82.670966296882455</v>
      </c>
      <c r="K141" s="250">
        <f t="shared" si="17"/>
        <v>11</v>
      </c>
      <c r="L141" s="250">
        <f t="shared" si="18"/>
        <v>3</v>
      </c>
      <c r="M141" s="250">
        <f t="shared" si="19"/>
        <v>1</v>
      </c>
      <c r="N141" s="251">
        <f>4*J141*'[3]Base Costs'!$B$7</f>
        <v>16430.358525707608</v>
      </c>
      <c r="O141" s="252">
        <f>4*IF(K141&lt;=3,K141*'[3]Base Costs'!$B$8,IF(L141&lt;=3,L141*'[3]Base Costs'!$B$9,'[3]Base Costs'!$B$10*M141))</f>
        <v>4200</v>
      </c>
      <c r="P141" s="252">
        <f>4*C141*'[3]Base Costs'!$B$11</f>
        <v>65095.249052663348</v>
      </c>
      <c r="Q141">
        <f>'[3]Base Costs'!$B$13+'[3]Base Costs'!$B$14</f>
        <v>414</v>
      </c>
      <c r="R141" s="239">
        <f>'[3]Base Costs'!$D$2</f>
        <v>1105.3024868650327</v>
      </c>
      <c r="S141" s="254">
        <f t="shared" si="20"/>
        <v>22149.66101257264</v>
      </c>
    </row>
    <row r="142" spans="1:19" x14ac:dyDescent="0.25">
      <c r="A142" s="248" t="s">
        <v>988</v>
      </c>
      <c r="B142" s="248" t="s">
        <v>899</v>
      </c>
      <c r="C142" s="249">
        <v>242.11365247335951</v>
      </c>
      <c r="D142" s="250">
        <f>C142*'[3]Base Costs'!$B$5</f>
        <v>242.11365247335951</v>
      </c>
      <c r="E142" s="250">
        <f t="shared" si="14"/>
        <v>31</v>
      </c>
      <c r="F142" s="250">
        <f t="shared" si="15"/>
        <v>7</v>
      </c>
      <c r="G142" s="250">
        <f t="shared" si="16"/>
        <v>2</v>
      </c>
      <c r="H142" s="251">
        <f>4*D142*'[3]Base Costs'!$B$7</f>
        <v>48118.635747165368</v>
      </c>
      <c r="I142" s="252">
        <f>4*IF(E142&lt;=3,E142*'[3]Base Costs'!$B$8,IF(F142&lt;=3,F142*'[3]Base Costs'!$B$9,'[3]Base Costs'!$B$10*G142))</f>
        <v>8800</v>
      </c>
      <c r="J142" s="253">
        <f>C142*'[3]Base Costs'!$B$6</f>
        <v>61.496867728233319</v>
      </c>
      <c r="K142" s="250">
        <f t="shared" si="17"/>
        <v>8</v>
      </c>
      <c r="L142" s="250">
        <f t="shared" si="18"/>
        <v>2</v>
      </c>
      <c r="M142" s="250">
        <f t="shared" si="19"/>
        <v>1</v>
      </c>
      <c r="N142" s="251">
        <f>4*J142*'[3]Base Costs'!$B$7</f>
        <v>12222.133479780005</v>
      </c>
      <c r="O142" s="252">
        <f>4*IF(K142&lt;=3,K142*'[3]Base Costs'!$B$8,IF(L142&lt;=3,L142*'[3]Base Costs'!$B$9,'[3]Base Costs'!$B$10*M142))</f>
        <v>2800</v>
      </c>
      <c r="P142" s="252">
        <f>4*C142*'[3]Base Costs'!$B$11</f>
        <v>48422.730494671901</v>
      </c>
      <c r="Q142">
        <f>'[3]Base Costs'!$B$13+'[3]Base Costs'!$B$14</f>
        <v>414</v>
      </c>
      <c r="R142" s="239">
        <f>'[3]Base Costs'!$D$2</f>
        <v>1105.3024868650327</v>
      </c>
      <c r="S142" s="254">
        <f t="shared" si="20"/>
        <v>16541.435966645036</v>
      </c>
    </row>
    <row r="143" spans="1:19" x14ac:dyDescent="0.25">
      <c r="A143" s="248" t="s">
        <v>988</v>
      </c>
      <c r="B143" s="248" t="s">
        <v>900</v>
      </c>
      <c r="C143" s="249">
        <v>58.002069254189578</v>
      </c>
      <c r="D143" s="250">
        <f>C143*'[3]Base Costs'!$B$5</f>
        <v>58.002069254189578</v>
      </c>
      <c r="E143" s="250">
        <f t="shared" si="14"/>
        <v>8</v>
      </c>
      <c r="F143" s="250">
        <f t="shared" si="15"/>
        <v>2</v>
      </c>
      <c r="G143" s="250">
        <f t="shared" si="16"/>
        <v>1</v>
      </c>
      <c r="H143" s="251">
        <f>4*D143*'[3]Base Costs'!$B$7</f>
        <v>11527.563251854655</v>
      </c>
      <c r="I143" s="252">
        <f>4*IF(E143&lt;=3,E143*'[3]Base Costs'!$B$8,IF(F143&lt;=3,F143*'[3]Base Costs'!$B$9,'[3]Base Costs'!$B$10*G143))</f>
        <v>2800</v>
      </c>
      <c r="J143" s="253">
        <f>C143*'[3]Base Costs'!$B$6</f>
        <v>14.732525590564153</v>
      </c>
      <c r="K143" s="250">
        <f t="shared" si="17"/>
        <v>2</v>
      </c>
      <c r="L143" s="250">
        <f t="shared" si="18"/>
        <v>1</v>
      </c>
      <c r="M143" s="250">
        <f t="shared" si="19"/>
        <v>1</v>
      </c>
      <c r="N143" s="251">
        <f>4*J143*'[3]Base Costs'!$B$7</f>
        <v>2928.0010659710824</v>
      </c>
      <c r="O143" s="252">
        <f>4*IF(K143&lt;=3,K143*'[3]Base Costs'!$B$8,IF(L143&lt;=3,L143*'[3]Base Costs'!$B$9,'[3]Base Costs'!$B$10*M143))</f>
        <v>1000</v>
      </c>
      <c r="P143" s="252">
        <f>4*C143*'[3]Base Costs'!$B$11</f>
        <v>11600.413850837916</v>
      </c>
      <c r="Q143">
        <f>'[3]Base Costs'!$B$13+'[3]Base Costs'!$B$14</f>
        <v>414</v>
      </c>
      <c r="R143" s="239">
        <f>'[3]Base Costs'!$D$2</f>
        <v>1105.3024868650327</v>
      </c>
      <c r="S143" s="254">
        <f t="shared" si="20"/>
        <v>5447.3035528361152</v>
      </c>
    </row>
    <row r="144" spans="1:19" x14ac:dyDescent="0.25">
      <c r="A144" s="248" t="s">
        <v>988</v>
      </c>
      <c r="B144" s="248" t="s">
        <v>901</v>
      </c>
      <c r="C144" s="249">
        <v>282.41881699192578</v>
      </c>
      <c r="D144" s="250">
        <f>C144*'[3]Base Costs'!$B$5</f>
        <v>282.41881699192578</v>
      </c>
      <c r="E144" s="250">
        <f t="shared" si="14"/>
        <v>36</v>
      </c>
      <c r="F144" s="250">
        <f t="shared" si="15"/>
        <v>8</v>
      </c>
      <c r="G144" s="250">
        <f t="shared" si="16"/>
        <v>2</v>
      </c>
      <c r="H144" s="251">
        <f>4*D144*'[3]Base Costs'!$B$7</f>
        <v>56129.045364243306</v>
      </c>
      <c r="I144" s="252">
        <f>4*IF(E144&lt;=3,E144*'[3]Base Costs'!$B$8,IF(F144&lt;=3,F144*'[3]Base Costs'!$B$9,'[3]Base Costs'!$B$10*G144))</f>
        <v>8800</v>
      </c>
      <c r="J144" s="253">
        <f>C144*'[3]Base Costs'!$B$6</f>
        <v>71.734379515949144</v>
      </c>
      <c r="K144" s="250">
        <f t="shared" si="17"/>
        <v>9</v>
      </c>
      <c r="L144" s="250">
        <f t="shared" si="18"/>
        <v>2</v>
      </c>
      <c r="M144" s="250">
        <f t="shared" si="19"/>
        <v>1</v>
      </c>
      <c r="N144" s="251">
        <f>4*J144*'[3]Base Costs'!$B$7</f>
        <v>14256.777522517799</v>
      </c>
      <c r="O144" s="252">
        <f>4*IF(K144&lt;=3,K144*'[3]Base Costs'!$B$8,IF(L144&lt;=3,L144*'[3]Base Costs'!$B$9,'[3]Base Costs'!$B$10*M144))</f>
        <v>2800</v>
      </c>
      <c r="P144" s="252">
        <f>4*C144*'[3]Base Costs'!$B$11</f>
        <v>56483.763398385156</v>
      </c>
      <c r="Q144">
        <f>'[3]Base Costs'!$B$13+'[3]Base Costs'!$B$14</f>
        <v>414</v>
      </c>
      <c r="R144" s="239">
        <f>'[3]Base Costs'!$D$2</f>
        <v>1105.3024868650327</v>
      </c>
      <c r="S144" s="254">
        <f t="shared" si="20"/>
        <v>18576.080009382833</v>
      </c>
    </row>
    <row r="145" spans="1:19" x14ac:dyDescent="0.25">
      <c r="A145" s="248" t="s">
        <v>988</v>
      </c>
      <c r="B145" s="248" t="s">
        <v>902</v>
      </c>
      <c r="C145" s="249">
        <v>113.46003224567677</v>
      </c>
      <c r="D145" s="250">
        <f>C145*'[3]Base Costs'!$B$5</f>
        <v>113.46003224567677</v>
      </c>
      <c r="E145" s="250">
        <f t="shared" si="14"/>
        <v>15</v>
      </c>
      <c r="F145" s="250">
        <f t="shared" si="15"/>
        <v>3</v>
      </c>
      <c r="G145" s="250">
        <f t="shared" si="16"/>
        <v>1</v>
      </c>
      <c r="H145" s="251">
        <f>4*D145*'[3]Base Costs'!$B$7</f>
        <v>22549.500648634788</v>
      </c>
      <c r="I145" s="252">
        <f>4*IF(E145&lt;=3,E145*'[3]Base Costs'!$B$8,IF(F145&lt;=3,F145*'[3]Base Costs'!$B$9,'[3]Base Costs'!$B$10*G145))</f>
        <v>4200</v>
      </c>
      <c r="J145" s="253">
        <f>C145*'[3]Base Costs'!$B$6</f>
        <v>28.818848190401901</v>
      </c>
      <c r="K145" s="250">
        <f t="shared" si="17"/>
        <v>4</v>
      </c>
      <c r="L145" s="250">
        <f t="shared" si="18"/>
        <v>1</v>
      </c>
      <c r="M145" s="250">
        <f t="shared" si="19"/>
        <v>1</v>
      </c>
      <c r="N145" s="251">
        <f>4*J145*'[3]Base Costs'!$B$7</f>
        <v>5727.5731647532366</v>
      </c>
      <c r="O145" s="252">
        <f>4*IF(K145&lt;=3,K145*'[3]Base Costs'!$B$8,IF(L145&lt;=3,L145*'[3]Base Costs'!$B$9,'[3]Base Costs'!$B$10*M145))</f>
        <v>1400</v>
      </c>
      <c r="P145" s="252">
        <f>4*C145*'[3]Base Costs'!$B$11</f>
        <v>22692.006449135355</v>
      </c>
      <c r="Q145">
        <f>'[3]Base Costs'!$B$13+'[3]Base Costs'!$B$14</f>
        <v>414</v>
      </c>
      <c r="R145" s="239">
        <f>'[3]Base Costs'!$D$2</f>
        <v>1105.3024868650327</v>
      </c>
      <c r="S145" s="254">
        <f t="shared" si="20"/>
        <v>8646.8756516182693</v>
      </c>
    </row>
    <row r="146" spans="1:19" x14ac:dyDescent="0.25">
      <c r="A146" s="248" t="s">
        <v>988</v>
      </c>
      <c r="B146" s="248" t="s">
        <v>903</v>
      </c>
      <c r="C146" s="249">
        <v>317.23465535574741</v>
      </c>
      <c r="D146" s="250">
        <f>C146*'[3]Base Costs'!$B$5</f>
        <v>317.23465535574741</v>
      </c>
      <c r="E146" s="250">
        <f t="shared" si="14"/>
        <v>40</v>
      </c>
      <c r="F146" s="250">
        <f t="shared" si="15"/>
        <v>8</v>
      </c>
      <c r="G146" s="250">
        <f t="shared" si="16"/>
        <v>2</v>
      </c>
      <c r="H146" s="251">
        <f>4*D146*'[3]Base Costs'!$B$7</f>
        <v>63048.484344022669</v>
      </c>
      <c r="I146" s="252">
        <f>4*IF(E146&lt;=3,E146*'[3]Base Costs'!$B$8,IF(F146&lt;=3,F146*'[3]Base Costs'!$B$9,'[3]Base Costs'!$B$10*G146))</f>
        <v>8800</v>
      </c>
      <c r="J146" s="253">
        <f>C146*'[3]Base Costs'!$B$6</f>
        <v>80.577602460359842</v>
      </c>
      <c r="K146" s="250">
        <f t="shared" si="17"/>
        <v>11</v>
      </c>
      <c r="L146" s="250">
        <f t="shared" si="18"/>
        <v>3</v>
      </c>
      <c r="M146" s="250">
        <f t="shared" si="19"/>
        <v>1</v>
      </c>
      <c r="N146" s="251">
        <f>4*J146*'[3]Base Costs'!$B$7</f>
        <v>16014.315023381758</v>
      </c>
      <c r="O146" s="252">
        <f>4*IF(K146&lt;=3,K146*'[3]Base Costs'!$B$8,IF(L146&lt;=3,L146*'[3]Base Costs'!$B$9,'[3]Base Costs'!$B$10*M146))</f>
        <v>4200</v>
      </c>
      <c r="P146" s="252">
        <f>4*C146*'[3]Base Costs'!$B$11</f>
        <v>63446.931071149484</v>
      </c>
      <c r="Q146">
        <f>'[3]Base Costs'!$B$13+'[3]Base Costs'!$B$14</f>
        <v>414</v>
      </c>
      <c r="R146" s="239">
        <f>'[3]Base Costs'!$D$2</f>
        <v>1105.3024868650327</v>
      </c>
      <c r="S146" s="254">
        <f t="shared" si="20"/>
        <v>21733.61751024679</v>
      </c>
    </row>
    <row r="147" spans="1:19" x14ac:dyDescent="0.25">
      <c r="A147" s="248" t="s">
        <v>988</v>
      </c>
      <c r="B147" s="248" t="s">
        <v>904</v>
      </c>
      <c r="C147" s="249">
        <v>89.039838860000003</v>
      </c>
      <c r="D147" s="250">
        <f>C147*'[3]Base Costs'!$B$5</f>
        <v>89.039838860000003</v>
      </c>
      <c r="E147" s="250">
        <f t="shared" si="14"/>
        <v>12</v>
      </c>
      <c r="F147" s="250">
        <f t="shared" si="15"/>
        <v>3</v>
      </c>
      <c r="G147" s="250">
        <f t="shared" si="16"/>
        <v>1</v>
      </c>
      <c r="H147" s="251">
        <f>4*D147*'[3]Base Costs'!$B$7</f>
        <v>17696.133734391842</v>
      </c>
      <c r="I147" s="252">
        <f>4*IF(E147&lt;=3,E147*'[3]Base Costs'!$B$8,IF(F147&lt;=3,F147*'[3]Base Costs'!$B$9,'[3]Base Costs'!$B$10*G147))</f>
        <v>4200</v>
      </c>
      <c r="J147" s="253">
        <f>C147*'[3]Base Costs'!$B$6</f>
        <v>22.61611907044</v>
      </c>
      <c r="K147" s="250">
        <f t="shared" si="17"/>
        <v>3</v>
      </c>
      <c r="L147" s="250">
        <f t="shared" si="18"/>
        <v>1</v>
      </c>
      <c r="M147" s="250">
        <f t="shared" si="19"/>
        <v>1</v>
      </c>
      <c r="N147" s="251">
        <f>4*J147*'[3]Base Costs'!$B$7</f>
        <v>4494.8179685355281</v>
      </c>
      <c r="O147" s="252">
        <f>4*IF(K147&lt;=3,K147*'[3]Base Costs'!$B$8,IF(L147&lt;=3,L147*'[3]Base Costs'!$B$9,'[3]Base Costs'!$B$10*M147))</f>
        <v>1500</v>
      </c>
      <c r="P147" s="252">
        <f>4*C147*'[3]Base Costs'!$B$11</f>
        <v>17807.967772</v>
      </c>
      <c r="Q147">
        <f>'[3]Base Costs'!$B$13+'[3]Base Costs'!$B$14</f>
        <v>414</v>
      </c>
      <c r="R147" s="239">
        <f>'[3]Base Costs'!$D$2</f>
        <v>1105.3024868650327</v>
      </c>
      <c r="S147" s="254">
        <f t="shared" si="20"/>
        <v>7514.1204554005608</v>
      </c>
    </row>
    <row r="148" spans="1:19" x14ac:dyDescent="0.25">
      <c r="A148" s="248" t="s">
        <v>988</v>
      </c>
      <c r="B148" s="248" t="s">
        <v>905</v>
      </c>
      <c r="C148" s="249">
        <v>189.2220829766371</v>
      </c>
      <c r="D148" s="250">
        <f>C148*'[3]Base Costs'!$B$5</f>
        <v>189.2220829766371</v>
      </c>
      <c r="E148" s="250">
        <f t="shared" si="14"/>
        <v>24</v>
      </c>
      <c r="F148" s="250">
        <f t="shared" si="15"/>
        <v>5</v>
      </c>
      <c r="G148" s="250">
        <f t="shared" si="16"/>
        <v>2</v>
      </c>
      <c r="H148" s="251">
        <f>4*D148*'[3]Base Costs'!$B$7</f>
        <v>37606.75365910877</v>
      </c>
      <c r="I148" s="252">
        <f>4*IF(E148&lt;=3,E148*'[3]Base Costs'!$B$8,IF(F148&lt;=3,F148*'[3]Base Costs'!$B$9,'[3]Base Costs'!$B$10*G148))</f>
        <v>8800</v>
      </c>
      <c r="J148" s="253">
        <f>C148*'[3]Base Costs'!$B$6</f>
        <v>48.062409076065826</v>
      </c>
      <c r="K148" s="250">
        <f t="shared" si="17"/>
        <v>7</v>
      </c>
      <c r="L148" s="250">
        <f t="shared" si="18"/>
        <v>2</v>
      </c>
      <c r="M148" s="250">
        <f t="shared" si="19"/>
        <v>1</v>
      </c>
      <c r="N148" s="251">
        <f>4*J148*'[3]Base Costs'!$B$7</f>
        <v>9552.1154294136286</v>
      </c>
      <c r="O148" s="252">
        <f>4*IF(K148&lt;=3,K148*'[3]Base Costs'!$B$8,IF(L148&lt;=3,L148*'[3]Base Costs'!$B$9,'[3]Base Costs'!$B$10*M148))</f>
        <v>2800</v>
      </c>
      <c r="P148" s="252">
        <f>4*C148*'[3]Base Costs'!$B$11</f>
        <v>37844.416595327421</v>
      </c>
      <c r="Q148">
        <f>'[3]Base Costs'!$B$13+'[3]Base Costs'!$B$14</f>
        <v>414</v>
      </c>
      <c r="R148" s="239">
        <f>'[3]Base Costs'!$D$2</f>
        <v>1105.3024868650327</v>
      </c>
      <c r="S148" s="254">
        <f t="shared" si="20"/>
        <v>13871.41791627866</v>
      </c>
    </row>
    <row r="149" spans="1:19" x14ac:dyDescent="0.25">
      <c r="A149" s="248" t="s">
        <v>988</v>
      </c>
      <c r="B149" s="248" t="s">
        <v>906</v>
      </c>
      <c r="C149" s="249">
        <v>284.74574064572533</v>
      </c>
      <c r="D149" s="250">
        <f>C149*'[3]Base Costs'!$B$5</f>
        <v>284.74574064572533</v>
      </c>
      <c r="E149" s="250">
        <f t="shared" si="14"/>
        <v>36</v>
      </c>
      <c r="F149" s="250">
        <f t="shared" si="15"/>
        <v>8</v>
      </c>
      <c r="G149" s="250">
        <f t="shared" si="16"/>
        <v>2</v>
      </c>
      <c r="H149" s="251">
        <f>4*D149*'[3]Base Costs'!$B$7</f>
        <v>56591.507478894047</v>
      </c>
      <c r="I149" s="252">
        <f>4*IF(E149&lt;=3,E149*'[3]Base Costs'!$B$8,IF(F149&lt;=3,F149*'[3]Base Costs'!$B$9,'[3]Base Costs'!$B$10*G149))</f>
        <v>8800</v>
      </c>
      <c r="J149" s="253">
        <f>C149*'[3]Base Costs'!$B$6</f>
        <v>72.325418124014234</v>
      </c>
      <c r="K149" s="250">
        <f t="shared" si="17"/>
        <v>10</v>
      </c>
      <c r="L149" s="250">
        <f t="shared" si="18"/>
        <v>2</v>
      </c>
      <c r="M149" s="250">
        <f t="shared" si="19"/>
        <v>1</v>
      </c>
      <c r="N149" s="251">
        <f>4*J149*'[3]Base Costs'!$B$7</f>
        <v>14374.242899639086</v>
      </c>
      <c r="O149" s="252">
        <f>4*IF(K149&lt;=3,K149*'[3]Base Costs'!$B$8,IF(L149&lt;=3,L149*'[3]Base Costs'!$B$9,'[3]Base Costs'!$B$10*M149))</f>
        <v>2800</v>
      </c>
      <c r="P149" s="252">
        <f>4*C149*'[3]Base Costs'!$B$11</f>
        <v>56949.148129145069</v>
      </c>
      <c r="Q149">
        <f>'[3]Base Costs'!$B$13+'[3]Base Costs'!$B$14</f>
        <v>414</v>
      </c>
      <c r="R149" s="239">
        <f>'[3]Base Costs'!$D$2</f>
        <v>1105.3024868650327</v>
      </c>
      <c r="S149" s="254">
        <f t="shared" si="20"/>
        <v>18693.54538650412</v>
      </c>
    </row>
    <row r="150" spans="1:19" x14ac:dyDescent="0.25">
      <c r="A150" s="248" t="s">
        <v>988</v>
      </c>
      <c r="B150" s="248" t="s">
        <v>907</v>
      </c>
      <c r="C150" s="249">
        <v>163.69992608700417</v>
      </c>
      <c r="D150" s="250">
        <f>C150*'[3]Base Costs'!$B$5</f>
        <v>163.69992608700417</v>
      </c>
      <c r="E150" s="250">
        <f t="shared" si="14"/>
        <v>21</v>
      </c>
      <c r="F150" s="250">
        <f t="shared" si="15"/>
        <v>5</v>
      </c>
      <c r="G150" s="250">
        <f t="shared" si="16"/>
        <v>2</v>
      </c>
      <c r="H150" s="251">
        <f>4*D150*'[3]Base Costs'!$B$7</f>
        <v>32534.378110235561</v>
      </c>
      <c r="I150" s="252">
        <f>4*IF(E150&lt;=3,E150*'[3]Base Costs'!$B$8,IF(F150&lt;=3,F150*'[3]Base Costs'!$B$9,'[3]Base Costs'!$B$10*G150))</f>
        <v>8800</v>
      </c>
      <c r="J150" s="253">
        <f>C150*'[3]Base Costs'!$B$6</f>
        <v>41.579781226099058</v>
      </c>
      <c r="K150" s="250">
        <f t="shared" si="17"/>
        <v>6</v>
      </c>
      <c r="L150" s="250">
        <f t="shared" si="18"/>
        <v>2</v>
      </c>
      <c r="M150" s="250">
        <f t="shared" si="19"/>
        <v>1</v>
      </c>
      <c r="N150" s="251">
        <f>4*J150*'[3]Base Costs'!$B$7</f>
        <v>8263.7320399998316</v>
      </c>
      <c r="O150" s="252">
        <f>4*IF(K150&lt;=3,K150*'[3]Base Costs'!$B$8,IF(L150&lt;=3,L150*'[3]Base Costs'!$B$9,'[3]Base Costs'!$B$10*M150))</f>
        <v>2800</v>
      </c>
      <c r="P150" s="252">
        <f>4*C150*'[3]Base Costs'!$B$11</f>
        <v>32739.985217400834</v>
      </c>
      <c r="Q150">
        <f>'[3]Base Costs'!$B$13+'[3]Base Costs'!$B$14</f>
        <v>414</v>
      </c>
      <c r="R150" s="239">
        <f>'[3]Base Costs'!$D$2</f>
        <v>1105.3024868650327</v>
      </c>
      <c r="S150" s="254">
        <f t="shared" si="20"/>
        <v>12583.034526864863</v>
      </c>
    </row>
    <row r="151" spans="1:19" x14ac:dyDescent="0.25">
      <c r="A151" s="248" t="s">
        <v>988</v>
      </c>
      <c r="B151" s="248" t="s">
        <v>908</v>
      </c>
      <c r="C151" s="249">
        <v>379.90753905307531</v>
      </c>
      <c r="D151" s="250">
        <f>C151*'[3]Base Costs'!$B$5</f>
        <v>379.90753905307531</v>
      </c>
      <c r="E151" s="250">
        <f t="shared" si="14"/>
        <v>48</v>
      </c>
      <c r="F151" s="250">
        <f t="shared" si="15"/>
        <v>10</v>
      </c>
      <c r="G151" s="250">
        <f t="shared" si="16"/>
        <v>3</v>
      </c>
      <c r="H151" s="251">
        <f>4*D151*'[3]Base Costs'!$B$7</f>
        <v>75504.34394156441</v>
      </c>
      <c r="I151" s="252">
        <f>4*IF(E151&lt;=3,E151*'[3]Base Costs'!$B$8,IF(F151&lt;=3,F151*'[3]Base Costs'!$B$9,'[3]Base Costs'!$B$10*G151))</f>
        <v>13200</v>
      </c>
      <c r="J151" s="253">
        <f>C151*'[3]Base Costs'!$B$6</f>
        <v>96.496514919481129</v>
      </c>
      <c r="K151" s="250">
        <f t="shared" si="17"/>
        <v>13</v>
      </c>
      <c r="L151" s="250">
        <f t="shared" si="18"/>
        <v>3</v>
      </c>
      <c r="M151" s="250">
        <f t="shared" si="19"/>
        <v>1</v>
      </c>
      <c r="N151" s="251">
        <f>4*J151*'[3]Base Costs'!$B$7</f>
        <v>19178.103361157358</v>
      </c>
      <c r="O151" s="252">
        <f>4*IF(K151&lt;=3,K151*'[3]Base Costs'!$B$8,IF(L151&lt;=3,L151*'[3]Base Costs'!$B$9,'[3]Base Costs'!$B$10*M151))</f>
        <v>4200</v>
      </c>
      <c r="P151" s="252">
        <f>4*C151*'[3]Base Costs'!$B$11</f>
        <v>75981.507810615061</v>
      </c>
      <c r="Q151">
        <f>'[3]Base Costs'!$B$13+'[3]Base Costs'!$B$14</f>
        <v>414</v>
      </c>
      <c r="R151" s="239">
        <f>'[3]Base Costs'!$D$2</f>
        <v>1105.3024868650327</v>
      </c>
      <c r="S151" s="254">
        <f t="shared" si="20"/>
        <v>24897.40584802239</v>
      </c>
    </row>
    <row r="152" spans="1:19" x14ac:dyDescent="0.25">
      <c r="A152" s="248" t="s">
        <v>988</v>
      </c>
      <c r="B152" s="248" t="s">
        <v>909</v>
      </c>
      <c r="C152" s="249">
        <v>152.06862082217981</v>
      </c>
      <c r="D152" s="250">
        <f>C152*'[3]Base Costs'!$B$5</f>
        <v>152.06862082217981</v>
      </c>
      <c r="E152" s="250">
        <f t="shared" si="14"/>
        <v>20</v>
      </c>
      <c r="F152" s="250">
        <f t="shared" si="15"/>
        <v>4</v>
      </c>
      <c r="G152" s="250">
        <f t="shared" si="16"/>
        <v>1</v>
      </c>
      <c r="H152" s="251">
        <f>4*D152*'[3]Base Costs'!$B$7</f>
        <v>30222.725976683309</v>
      </c>
      <c r="I152" s="252">
        <f>4*IF(E152&lt;=3,E152*'[3]Base Costs'!$B$8,IF(F152&lt;=3,F152*'[3]Base Costs'!$B$9,'[3]Base Costs'!$B$10*G152))</f>
        <v>4400</v>
      </c>
      <c r="J152" s="253">
        <f>C152*'[3]Base Costs'!$B$6</f>
        <v>38.62542968883367</v>
      </c>
      <c r="K152" s="250">
        <f t="shared" si="17"/>
        <v>5</v>
      </c>
      <c r="L152" s="250">
        <f t="shared" si="18"/>
        <v>1</v>
      </c>
      <c r="M152" s="250">
        <f t="shared" si="19"/>
        <v>1</v>
      </c>
      <c r="N152" s="251">
        <f>4*J152*'[3]Base Costs'!$B$7</f>
        <v>7676.5723980775601</v>
      </c>
      <c r="O152" s="252">
        <f>4*IF(K152&lt;=3,K152*'[3]Base Costs'!$B$8,IF(L152&lt;=3,L152*'[3]Base Costs'!$B$9,'[3]Base Costs'!$B$10*M152))</f>
        <v>1400</v>
      </c>
      <c r="P152" s="252">
        <f>4*C152*'[3]Base Costs'!$B$11</f>
        <v>30413.72416443596</v>
      </c>
      <c r="Q152">
        <f>'[3]Base Costs'!$B$13+'[3]Base Costs'!$B$14</f>
        <v>414</v>
      </c>
      <c r="R152" s="239">
        <f>'[3]Base Costs'!$D$2</f>
        <v>1105.3024868650327</v>
      </c>
      <c r="S152" s="254">
        <f t="shared" si="20"/>
        <v>10595.874884942594</v>
      </c>
    </row>
    <row r="153" spans="1:19" x14ac:dyDescent="0.25">
      <c r="A153" s="248" t="s">
        <v>988</v>
      </c>
      <c r="B153" s="248" t="s">
        <v>910</v>
      </c>
      <c r="C153" s="249">
        <v>137.92587917082076</v>
      </c>
      <c r="D153" s="250">
        <f>C153*'[3]Base Costs'!$B$5</f>
        <v>137.92587917082076</v>
      </c>
      <c r="E153" s="250">
        <f t="shared" si="14"/>
        <v>18</v>
      </c>
      <c r="F153" s="250">
        <f t="shared" si="15"/>
        <v>4</v>
      </c>
      <c r="G153" s="250">
        <f t="shared" si="16"/>
        <v>1</v>
      </c>
      <c r="H153" s="251">
        <f>4*D153*'[3]Base Costs'!$B$7</f>
        <v>27411.940929925604</v>
      </c>
      <c r="I153" s="252">
        <f>4*IF(E153&lt;=3,E153*'[3]Base Costs'!$B$8,IF(F153&lt;=3,F153*'[3]Base Costs'!$B$9,'[3]Base Costs'!$B$10*G153))</f>
        <v>4400</v>
      </c>
      <c r="J153" s="253">
        <f>C153*'[3]Base Costs'!$B$6</f>
        <v>35.033173309388474</v>
      </c>
      <c r="K153" s="250">
        <f t="shared" si="17"/>
        <v>5</v>
      </c>
      <c r="L153" s="250">
        <f t="shared" si="18"/>
        <v>1</v>
      </c>
      <c r="M153" s="250">
        <f t="shared" si="19"/>
        <v>1</v>
      </c>
      <c r="N153" s="251">
        <f>4*J153*'[3]Base Costs'!$B$7</f>
        <v>6962.6329962011041</v>
      </c>
      <c r="O153" s="252">
        <f>4*IF(K153&lt;=3,K153*'[3]Base Costs'!$B$8,IF(L153&lt;=3,L153*'[3]Base Costs'!$B$9,'[3]Base Costs'!$B$10*M153))</f>
        <v>1400</v>
      </c>
      <c r="P153" s="252">
        <f>4*C153*'[3]Base Costs'!$B$11</f>
        <v>27585.175834164154</v>
      </c>
      <c r="Q153">
        <f>'[3]Base Costs'!$B$13+'[3]Base Costs'!$B$14</f>
        <v>414</v>
      </c>
      <c r="R153" s="239">
        <f>'[3]Base Costs'!$D$2</f>
        <v>1105.3024868650327</v>
      </c>
      <c r="S153" s="254">
        <f t="shared" si="20"/>
        <v>9881.9354830661359</v>
      </c>
    </row>
    <row r="154" spans="1:19" x14ac:dyDescent="0.25">
      <c r="A154" s="248" t="s">
        <v>988</v>
      </c>
      <c r="B154" s="248" t="s">
        <v>911</v>
      </c>
      <c r="C154" s="249">
        <v>216.90940794006988</v>
      </c>
      <c r="D154" s="250">
        <f>C154*'[3]Base Costs'!$B$5</f>
        <v>216.90940794006988</v>
      </c>
      <c r="E154" s="250">
        <f t="shared" si="14"/>
        <v>28</v>
      </c>
      <c r="F154" s="250">
        <f t="shared" si="15"/>
        <v>6</v>
      </c>
      <c r="G154" s="250">
        <f t="shared" si="16"/>
        <v>2</v>
      </c>
      <c r="H154" s="251">
        <f>4*D154*'[3]Base Costs'!$B$7</f>
        <v>43109.443371641253</v>
      </c>
      <c r="I154" s="252">
        <f>4*IF(E154&lt;=3,E154*'[3]Base Costs'!$B$8,IF(F154&lt;=3,F154*'[3]Base Costs'!$B$9,'[3]Base Costs'!$B$10*G154))</f>
        <v>8800</v>
      </c>
      <c r="J154" s="253">
        <f>C154*'[3]Base Costs'!$B$6</f>
        <v>55.094989616777752</v>
      </c>
      <c r="K154" s="250">
        <f t="shared" si="17"/>
        <v>7</v>
      </c>
      <c r="L154" s="250">
        <f t="shared" si="18"/>
        <v>2</v>
      </c>
      <c r="M154" s="250">
        <f t="shared" si="19"/>
        <v>1</v>
      </c>
      <c r="N154" s="251">
        <f>4*J154*'[3]Base Costs'!$B$7</f>
        <v>10949.79861639688</v>
      </c>
      <c r="O154" s="252">
        <f>4*IF(K154&lt;=3,K154*'[3]Base Costs'!$B$8,IF(L154&lt;=3,L154*'[3]Base Costs'!$B$9,'[3]Base Costs'!$B$10*M154))</f>
        <v>2800</v>
      </c>
      <c r="P154" s="252">
        <f>4*C154*'[3]Base Costs'!$B$11</f>
        <v>43381.881588013974</v>
      </c>
      <c r="Q154">
        <f>'[3]Base Costs'!$B$13+'[3]Base Costs'!$B$14</f>
        <v>414</v>
      </c>
      <c r="R154" s="239">
        <f>'[3]Base Costs'!$D$2</f>
        <v>1105.3024868650327</v>
      </c>
      <c r="S154" s="254">
        <f t="shared" si="20"/>
        <v>15269.101103261914</v>
      </c>
    </row>
    <row r="155" spans="1:19" x14ac:dyDescent="0.25">
      <c r="A155" s="248" t="s">
        <v>988</v>
      </c>
      <c r="B155" s="248" t="s">
        <v>993</v>
      </c>
      <c r="C155" s="249">
        <v>66.969219256760823</v>
      </c>
      <c r="D155" s="250">
        <f>C155*'[3]Base Costs'!$B$5</f>
        <v>66.969219256760823</v>
      </c>
      <c r="E155" s="250">
        <f t="shared" si="14"/>
        <v>9</v>
      </c>
      <c r="F155" s="250">
        <f t="shared" si="15"/>
        <v>2</v>
      </c>
      <c r="G155" s="250">
        <f t="shared" si="16"/>
        <v>1</v>
      </c>
      <c r="H155" s="251">
        <f>4*D155*'[3]Base Costs'!$B$7</f>
        <v>13309.730511965676</v>
      </c>
      <c r="I155" s="252">
        <f>4*IF(E155&lt;=3,E155*'[3]Base Costs'!$B$8,IF(F155&lt;=3,F155*'[3]Base Costs'!$B$9,'[3]Base Costs'!$B$10*G155))</f>
        <v>2800</v>
      </c>
      <c r="J155" s="253">
        <f>C155*'[3]Base Costs'!$B$6</f>
        <v>17.010181691217248</v>
      </c>
      <c r="K155" s="250">
        <f t="shared" si="17"/>
        <v>3</v>
      </c>
      <c r="L155" s="250">
        <f t="shared" si="18"/>
        <v>1</v>
      </c>
      <c r="M155" s="250">
        <f t="shared" si="19"/>
        <v>1</v>
      </c>
      <c r="N155" s="251">
        <f>4*J155*'[3]Base Costs'!$B$7</f>
        <v>3380.6715500392811</v>
      </c>
      <c r="O155" s="252">
        <f>4*IF(K155&lt;=3,K155*'[3]Base Costs'!$B$8,IF(L155&lt;=3,L155*'[3]Base Costs'!$B$9,'[3]Base Costs'!$B$10*M155))</f>
        <v>1500</v>
      </c>
      <c r="P155" s="252">
        <f>4*C155*'[3]Base Costs'!$B$11</f>
        <v>13393.843851352165</v>
      </c>
      <c r="Q155">
        <f>'[3]Base Costs'!$B$13+'[3]Base Costs'!$B$14</f>
        <v>414</v>
      </c>
      <c r="R155" s="239">
        <f>'[3]Base Costs'!$D$2</f>
        <v>1105.3024868650327</v>
      </c>
      <c r="S155" s="254">
        <f t="shared" si="20"/>
        <v>6399.9740369043138</v>
      </c>
    </row>
    <row r="156" spans="1:19" x14ac:dyDescent="0.25">
      <c r="A156" s="248" t="s">
        <v>988</v>
      </c>
      <c r="B156" s="248" t="s">
        <v>912</v>
      </c>
      <c r="C156" s="249">
        <v>107.20252003133781</v>
      </c>
      <c r="D156" s="250">
        <f>C156*'[3]Base Costs'!$B$5</f>
        <v>107.20252003133781</v>
      </c>
      <c r="E156" s="250">
        <f t="shared" si="14"/>
        <v>14</v>
      </c>
      <c r="F156" s="250">
        <f t="shared" si="15"/>
        <v>3</v>
      </c>
      <c r="G156" s="250">
        <f t="shared" si="16"/>
        <v>1</v>
      </c>
      <c r="H156" s="251">
        <f>4*D156*'[3]Base Costs'!$B$7</f>
        <v>21305.857641108207</v>
      </c>
      <c r="I156" s="252">
        <f>4*IF(E156&lt;=3,E156*'[3]Base Costs'!$B$8,IF(F156&lt;=3,F156*'[3]Base Costs'!$B$9,'[3]Base Costs'!$B$10*G156))</f>
        <v>4200</v>
      </c>
      <c r="J156" s="253">
        <f>C156*'[3]Base Costs'!$B$6</f>
        <v>27.229440087959805</v>
      </c>
      <c r="K156" s="250">
        <f t="shared" si="17"/>
        <v>4</v>
      </c>
      <c r="L156" s="250">
        <f t="shared" si="18"/>
        <v>1</v>
      </c>
      <c r="M156" s="250">
        <f t="shared" si="19"/>
        <v>1</v>
      </c>
      <c r="N156" s="251">
        <f>4*J156*'[3]Base Costs'!$B$7</f>
        <v>5411.6878408414841</v>
      </c>
      <c r="O156" s="252">
        <f>4*IF(K156&lt;=3,K156*'[3]Base Costs'!$B$8,IF(L156&lt;=3,L156*'[3]Base Costs'!$B$9,'[3]Base Costs'!$B$10*M156))</f>
        <v>1400</v>
      </c>
      <c r="P156" s="252">
        <f>4*C156*'[3]Base Costs'!$B$11</f>
        <v>21440.504006267562</v>
      </c>
      <c r="Q156">
        <f>'[3]Base Costs'!$B$13+'[3]Base Costs'!$B$14</f>
        <v>414</v>
      </c>
      <c r="R156" s="239">
        <f>'[3]Base Costs'!$D$2</f>
        <v>1105.3024868650327</v>
      </c>
      <c r="S156" s="254">
        <f t="shared" si="20"/>
        <v>8330.9903277065168</v>
      </c>
    </row>
    <row r="157" spans="1:19" x14ac:dyDescent="0.25">
      <c r="A157" s="248" t="s">
        <v>988</v>
      </c>
      <c r="B157" s="248" t="s">
        <v>913</v>
      </c>
      <c r="C157" s="249">
        <v>78.148313864949003</v>
      </c>
      <c r="D157" s="250">
        <f>C157*'[3]Base Costs'!$B$5</f>
        <v>78.148313864949003</v>
      </c>
      <c r="E157" s="250">
        <f t="shared" si="14"/>
        <v>10</v>
      </c>
      <c r="F157" s="250">
        <f t="shared" si="15"/>
        <v>2</v>
      </c>
      <c r="G157" s="250">
        <f t="shared" si="16"/>
        <v>1</v>
      </c>
      <c r="H157" s="251">
        <f>4*D157*'[3]Base Costs'!$B$7</f>
        <v>15531.508490775426</v>
      </c>
      <c r="I157" s="252">
        <f>4*IF(E157&lt;=3,E157*'[3]Base Costs'!$B$8,IF(F157&lt;=3,F157*'[3]Base Costs'!$B$9,'[3]Base Costs'!$B$10*G157))</f>
        <v>2800</v>
      </c>
      <c r="J157" s="253">
        <f>C157*'[3]Base Costs'!$B$6</f>
        <v>19.849671721697046</v>
      </c>
      <c r="K157" s="250">
        <f t="shared" si="17"/>
        <v>3</v>
      </c>
      <c r="L157" s="250">
        <f t="shared" si="18"/>
        <v>1</v>
      </c>
      <c r="M157" s="250">
        <f t="shared" si="19"/>
        <v>1</v>
      </c>
      <c r="N157" s="251">
        <f>4*J157*'[3]Base Costs'!$B$7</f>
        <v>3945.0031566569583</v>
      </c>
      <c r="O157" s="252">
        <f>4*IF(K157&lt;=3,K157*'[3]Base Costs'!$B$8,IF(L157&lt;=3,L157*'[3]Base Costs'!$B$9,'[3]Base Costs'!$B$10*M157))</f>
        <v>1500</v>
      </c>
      <c r="P157" s="252">
        <f>4*C157*'[3]Base Costs'!$B$11</f>
        <v>15629.662772989801</v>
      </c>
      <c r="Q157">
        <f>'[3]Base Costs'!$B$13+'[3]Base Costs'!$B$14</f>
        <v>414</v>
      </c>
      <c r="R157" s="239">
        <f>'[3]Base Costs'!$D$2</f>
        <v>1105.3024868650327</v>
      </c>
      <c r="S157" s="254">
        <f t="shared" si="20"/>
        <v>6964.3056435219914</v>
      </c>
    </row>
    <row r="158" spans="1:19" x14ac:dyDescent="0.25">
      <c r="A158" s="248" t="s">
        <v>988</v>
      </c>
      <c r="B158" s="248" t="s">
        <v>914</v>
      </c>
      <c r="C158" s="249">
        <v>84.100704120000003</v>
      </c>
      <c r="D158" s="250">
        <f>C158*'[3]Base Costs'!$B$5</f>
        <v>84.100704120000003</v>
      </c>
      <c r="E158" s="250">
        <f t="shared" si="14"/>
        <v>11</v>
      </c>
      <c r="F158" s="250">
        <f t="shared" si="15"/>
        <v>3</v>
      </c>
      <c r="G158" s="250">
        <f t="shared" si="16"/>
        <v>1</v>
      </c>
      <c r="H158" s="251">
        <f>4*D158*'[3]Base Costs'!$B$7</f>
        <v>16714.510339625282</v>
      </c>
      <c r="I158" s="252">
        <f>4*IF(E158&lt;=3,E158*'[3]Base Costs'!$B$8,IF(F158&lt;=3,F158*'[3]Base Costs'!$B$9,'[3]Base Costs'!$B$10*G158))</f>
        <v>4200</v>
      </c>
      <c r="J158" s="253">
        <f>C158*'[3]Base Costs'!$B$6</f>
        <v>21.36157884648</v>
      </c>
      <c r="K158" s="250">
        <f t="shared" si="17"/>
        <v>3</v>
      </c>
      <c r="L158" s="250">
        <f t="shared" si="18"/>
        <v>1</v>
      </c>
      <c r="M158" s="250">
        <f t="shared" si="19"/>
        <v>1</v>
      </c>
      <c r="N158" s="251">
        <f>4*J158*'[3]Base Costs'!$B$7</f>
        <v>4245.4856262648218</v>
      </c>
      <c r="O158" s="252">
        <f>4*IF(K158&lt;=3,K158*'[3]Base Costs'!$B$8,IF(L158&lt;=3,L158*'[3]Base Costs'!$B$9,'[3]Base Costs'!$B$10*M158))</f>
        <v>1500</v>
      </c>
      <c r="P158" s="252">
        <f>4*C158*'[3]Base Costs'!$B$11</f>
        <v>16820.140824000002</v>
      </c>
      <c r="Q158">
        <f>'[3]Base Costs'!$B$13+'[3]Base Costs'!$B$14</f>
        <v>414</v>
      </c>
      <c r="R158" s="239">
        <f>'[3]Base Costs'!$D$2</f>
        <v>1105.3024868650327</v>
      </c>
      <c r="S158" s="254">
        <f t="shared" si="20"/>
        <v>7264.7881131298545</v>
      </c>
    </row>
    <row r="159" spans="1:19" x14ac:dyDescent="0.25">
      <c r="A159" s="248" t="s">
        <v>988</v>
      </c>
      <c r="B159" s="248" t="s">
        <v>915</v>
      </c>
      <c r="C159" s="249">
        <v>204.71121190144817</v>
      </c>
      <c r="D159" s="250">
        <f>C159*'[3]Base Costs'!$B$5</f>
        <v>204.71121190144817</v>
      </c>
      <c r="E159" s="250">
        <f t="shared" si="14"/>
        <v>26</v>
      </c>
      <c r="F159" s="250">
        <f t="shared" si="15"/>
        <v>6</v>
      </c>
      <c r="G159" s="250">
        <f t="shared" si="16"/>
        <v>2</v>
      </c>
      <c r="H159" s="251">
        <f>4*D159*'[3]Base Costs'!$B$7</f>
        <v>40685.12509814142</v>
      </c>
      <c r="I159" s="252">
        <f>4*IF(E159&lt;=3,E159*'[3]Base Costs'!$B$8,IF(F159&lt;=3,F159*'[3]Base Costs'!$B$9,'[3]Base Costs'!$B$10*G159))</f>
        <v>8800</v>
      </c>
      <c r="J159" s="253">
        <f>C159*'[3]Base Costs'!$B$6</f>
        <v>51.996647822967837</v>
      </c>
      <c r="K159" s="250">
        <f t="shared" si="17"/>
        <v>7</v>
      </c>
      <c r="L159" s="250">
        <f t="shared" si="18"/>
        <v>2</v>
      </c>
      <c r="M159" s="250">
        <f t="shared" si="19"/>
        <v>1</v>
      </c>
      <c r="N159" s="251">
        <f>4*J159*'[3]Base Costs'!$B$7</f>
        <v>10334.021774927922</v>
      </c>
      <c r="O159" s="252">
        <f>4*IF(K159&lt;=3,K159*'[3]Base Costs'!$B$8,IF(L159&lt;=3,L159*'[3]Base Costs'!$B$9,'[3]Base Costs'!$B$10*M159))</f>
        <v>2800</v>
      </c>
      <c r="P159" s="252">
        <f>4*C159*'[3]Base Costs'!$B$11</f>
        <v>40942.24238028963</v>
      </c>
      <c r="Q159">
        <f>'[3]Base Costs'!$B$13+'[3]Base Costs'!$B$14</f>
        <v>414</v>
      </c>
      <c r="R159" s="239">
        <f>'[3]Base Costs'!$D$2</f>
        <v>1105.3024868650327</v>
      </c>
      <c r="S159" s="254">
        <f t="shared" si="20"/>
        <v>14653.324261792954</v>
      </c>
    </row>
    <row r="160" spans="1:19" x14ac:dyDescent="0.25">
      <c r="A160" s="248" t="s">
        <v>988</v>
      </c>
      <c r="B160" s="248" t="s">
        <v>916</v>
      </c>
      <c r="C160" s="249">
        <v>58.000146891315531</v>
      </c>
      <c r="D160" s="250">
        <f>C160*'[3]Base Costs'!$B$5</f>
        <v>58.000146891315531</v>
      </c>
      <c r="E160" s="250">
        <f t="shared" si="14"/>
        <v>8</v>
      </c>
      <c r="F160" s="250">
        <f t="shared" si="15"/>
        <v>2</v>
      </c>
      <c r="G160" s="250">
        <f t="shared" si="16"/>
        <v>1</v>
      </c>
      <c r="H160" s="251">
        <f>4*D160*'[3]Base Costs'!$B$7</f>
        <v>11527.181193767616</v>
      </c>
      <c r="I160" s="252">
        <f>4*IF(E160&lt;=3,E160*'[3]Base Costs'!$B$8,IF(F160&lt;=3,F160*'[3]Base Costs'!$B$9,'[3]Base Costs'!$B$10*G160))</f>
        <v>2800</v>
      </c>
      <c r="J160" s="253">
        <f>C160*'[3]Base Costs'!$B$6</f>
        <v>14.732037310394144</v>
      </c>
      <c r="K160" s="250">
        <f t="shared" si="17"/>
        <v>2</v>
      </c>
      <c r="L160" s="250">
        <f t="shared" si="18"/>
        <v>1</v>
      </c>
      <c r="M160" s="250">
        <f t="shared" si="19"/>
        <v>1</v>
      </c>
      <c r="N160" s="251">
        <f>4*J160*'[3]Base Costs'!$B$7</f>
        <v>2927.9040232169741</v>
      </c>
      <c r="O160" s="252">
        <f>4*IF(K160&lt;=3,K160*'[3]Base Costs'!$B$8,IF(L160&lt;=3,L160*'[3]Base Costs'!$B$9,'[3]Base Costs'!$B$10*M160))</f>
        <v>1000</v>
      </c>
      <c r="P160" s="252">
        <f>4*C160*'[3]Base Costs'!$B$11</f>
        <v>11600.029378263107</v>
      </c>
      <c r="Q160">
        <f>'[3]Base Costs'!$B$13+'[3]Base Costs'!$B$14</f>
        <v>414</v>
      </c>
      <c r="R160" s="239">
        <f>'[3]Base Costs'!$D$2</f>
        <v>1105.3024868650327</v>
      </c>
      <c r="S160" s="254">
        <f t="shared" si="20"/>
        <v>5447.2065100820073</v>
      </c>
    </row>
    <row r="161" spans="1:19" x14ac:dyDescent="0.25">
      <c r="A161" s="248" t="s">
        <v>988</v>
      </c>
      <c r="B161" s="248" t="s">
        <v>917</v>
      </c>
      <c r="C161" s="249">
        <v>134.72447849462364</v>
      </c>
      <c r="D161" s="250">
        <f>C161*'[3]Base Costs'!$B$5</f>
        <v>134.72447849462364</v>
      </c>
      <c r="E161" s="250">
        <f t="shared" si="14"/>
        <v>17</v>
      </c>
      <c r="F161" s="250">
        <f t="shared" si="15"/>
        <v>4</v>
      </c>
      <c r="G161" s="250">
        <f t="shared" si="16"/>
        <v>1</v>
      </c>
      <c r="H161" s="251">
        <f>4*D161*'[3]Base Costs'!$B$7</f>
        <v>26775.681753935485</v>
      </c>
      <c r="I161" s="252">
        <f>4*IF(E161&lt;=3,E161*'[3]Base Costs'!$B$8,IF(F161&lt;=3,F161*'[3]Base Costs'!$B$9,'[3]Base Costs'!$B$10*G161))</f>
        <v>4400</v>
      </c>
      <c r="J161" s="253">
        <f>C161*'[3]Base Costs'!$B$6</f>
        <v>34.220017537634405</v>
      </c>
      <c r="K161" s="250">
        <f t="shared" si="17"/>
        <v>5</v>
      </c>
      <c r="L161" s="250">
        <f t="shared" si="18"/>
        <v>1</v>
      </c>
      <c r="M161" s="250">
        <f t="shared" si="19"/>
        <v>1</v>
      </c>
      <c r="N161" s="251">
        <f>4*J161*'[3]Base Costs'!$B$7</f>
        <v>6801.0231654996132</v>
      </c>
      <c r="O161" s="252">
        <f>4*IF(K161&lt;=3,K161*'[3]Base Costs'!$B$8,IF(L161&lt;=3,L161*'[3]Base Costs'!$B$9,'[3]Base Costs'!$B$10*M161))</f>
        <v>1400</v>
      </c>
      <c r="P161" s="252">
        <f>4*C161*'[3]Base Costs'!$B$11</f>
        <v>26944.895698924727</v>
      </c>
      <c r="Q161">
        <f>'[3]Base Costs'!$B$13+'[3]Base Costs'!$B$14</f>
        <v>414</v>
      </c>
      <c r="R161" s="239">
        <f>'[3]Base Costs'!$D$2</f>
        <v>1105.3024868650327</v>
      </c>
      <c r="S161" s="254">
        <f t="shared" si="20"/>
        <v>9720.3256523646451</v>
      </c>
    </row>
    <row r="162" spans="1:19" x14ac:dyDescent="0.25">
      <c r="A162" s="248" t="s">
        <v>988</v>
      </c>
      <c r="B162" s="248" t="s">
        <v>994</v>
      </c>
      <c r="C162" s="249">
        <v>48.707478570160866</v>
      </c>
      <c r="D162" s="250">
        <f>C162*'[3]Base Costs'!$B$5</f>
        <v>48.707478570160866</v>
      </c>
      <c r="E162" s="250">
        <f t="shared" si="14"/>
        <v>7</v>
      </c>
      <c r="F162" s="250">
        <f t="shared" si="15"/>
        <v>2</v>
      </c>
      <c r="G162" s="250">
        <f t="shared" si="16"/>
        <v>1</v>
      </c>
      <c r="H162" s="251">
        <f>4*D162*'[3]Base Costs'!$B$7</f>
        <v>9680.3191209480519</v>
      </c>
      <c r="I162" s="252">
        <f>4*IF(E162&lt;=3,E162*'[3]Base Costs'!$B$8,IF(F162&lt;=3,F162*'[3]Base Costs'!$B$9,'[3]Base Costs'!$B$10*G162))</f>
        <v>2800</v>
      </c>
      <c r="J162" s="253">
        <f>C162*'[3]Base Costs'!$B$6</f>
        <v>12.371699556820861</v>
      </c>
      <c r="K162" s="250">
        <f t="shared" si="17"/>
        <v>2</v>
      </c>
      <c r="L162" s="250">
        <f t="shared" si="18"/>
        <v>1</v>
      </c>
      <c r="M162" s="250">
        <f t="shared" si="19"/>
        <v>1</v>
      </c>
      <c r="N162" s="251">
        <f>4*J162*'[3]Base Costs'!$B$7</f>
        <v>2458.8010567208057</v>
      </c>
      <c r="O162" s="252">
        <f>4*IF(K162&lt;=3,K162*'[3]Base Costs'!$B$8,IF(L162&lt;=3,L162*'[3]Base Costs'!$B$9,'[3]Base Costs'!$B$10*M162))</f>
        <v>1000</v>
      </c>
      <c r="P162" s="252">
        <f>4*C162*'[3]Base Costs'!$B$11</f>
        <v>9741.4957140321731</v>
      </c>
      <c r="Q162">
        <f>'[3]Base Costs'!$B$13+'[3]Base Costs'!$B$14</f>
        <v>414</v>
      </c>
      <c r="R162" s="239">
        <f>'[3]Base Costs'!$D$2</f>
        <v>1105.3024868650327</v>
      </c>
      <c r="S162" s="254">
        <f t="shared" si="20"/>
        <v>4978.1035435858385</v>
      </c>
    </row>
    <row r="163" spans="1:19" x14ac:dyDescent="0.25">
      <c r="A163" s="248" t="s">
        <v>988</v>
      </c>
      <c r="B163" s="248" t="s">
        <v>918</v>
      </c>
      <c r="C163" s="249">
        <v>240.4196005721135</v>
      </c>
      <c r="D163" s="250">
        <f>C163*'[3]Base Costs'!$B$5</f>
        <v>240.4196005721135</v>
      </c>
      <c r="E163" s="250">
        <f t="shared" si="14"/>
        <v>31</v>
      </c>
      <c r="F163" s="250">
        <f t="shared" si="15"/>
        <v>7</v>
      </c>
      <c r="G163" s="250">
        <f t="shared" si="16"/>
        <v>2</v>
      </c>
      <c r="H163" s="251">
        <f>4*D163*'[3]Base Costs'!$B$7</f>
        <v>47781.953096104131</v>
      </c>
      <c r="I163" s="252">
        <f>4*IF(E163&lt;=3,E163*'[3]Base Costs'!$B$8,IF(F163&lt;=3,F163*'[3]Base Costs'!$B$9,'[3]Base Costs'!$B$10*G163))</f>
        <v>8800</v>
      </c>
      <c r="J163" s="253">
        <f>C163*'[3]Base Costs'!$B$6</f>
        <v>61.06657854531683</v>
      </c>
      <c r="K163" s="250">
        <f t="shared" si="17"/>
        <v>8</v>
      </c>
      <c r="L163" s="250">
        <f t="shared" si="18"/>
        <v>2</v>
      </c>
      <c r="M163" s="250">
        <f t="shared" si="19"/>
        <v>1</v>
      </c>
      <c r="N163" s="251">
        <f>4*J163*'[3]Base Costs'!$B$7</f>
        <v>12136.616086410449</v>
      </c>
      <c r="O163" s="252">
        <f>4*IF(K163&lt;=3,K163*'[3]Base Costs'!$B$8,IF(L163&lt;=3,L163*'[3]Base Costs'!$B$9,'[3]Base Costs'!$B$10*M163))</f>
        <v>2800</v>
      </c>
      <c r="P163" s="252">
        <f>4*C163*'[3]Base Costs'!$B$11</f>
        <v>48083.920114422697</v>
      </c>
      <c r="Q163">
        <f>'[3]Base Costs'!$B$13+'[3]Base Costs'!$B$14</f>
        <v>414</v>
      </c>
      <c r="R163" s="239">
        <f>'[3]Base Costs'!$D$2</f>
        <v>1105.3024868650327</v>
      </c>
      <c r="S163" s="254">
        <f t="shared" si="20"/>
        <v>16455.918573275481</v>
      </c>
    </row>
    <row r="164" spans="1:19" x14ac:dyDescent="0.25">
      <c r="A164" s="248" t="s">
        <v>988</v>
      </c>
      <c r="B164" s="248" t="s">
        <v>919</v>
      </c>
      <c r="C164" s="249">
        <v>98.967016970091663</v>
      </c>
      <c r="D164" s="250">
        <f>C164*'[3]Base Costs'!$B$5</f>
        <v>98.967016970091663</v>
      </c>
      <c r="E164" s="250">
        <f t="shared" si="14"/>
        <v>13</v>
      </c>
      <c r="F164" s="250">
        <f t="shared" si="15"/>
        <v>3</v>
      </c>
      <c r="G164" s="250">
        <f t="shared" si="16"/>
        <v>1</v>
      </c>
      <c r="H164" s="251">
        <f>4*D164*'[3]Base Costs'!$B$7</f>
        <v>19669.100820703901</v>
      </c>
      <c r="I164" s="252">
        <f>4*IF(E164&lt;=3,E164*'[3]Base Costs'!$B$8,IF(F164&lt;=3,F164*'[3]Base Costs'!$B$9,'[3]Base Costs'!$B$10*G164))</f>
        <v>4200</v>
      </c>
      <c r="J164" s="253">
        <f>C164*'[3]Base Costs'!$B$6</f>
        <v>25.137622310403284</v>
      </c>
      <c r="K164" s="250">
        <f t="shared" si="17"/>
        <v>4</v>
      </c>
      <c r="L164" s="250">
        <f t="shared" si="18"/>
        <v>1</v>
      </c>
      <c r="M164" s="250">
        <f t="shared" si="19"/>
        <v>1</v>
      </c>
      <c r="N164" s="251">
        <f>4*J164*'[3]Base Costs'!$B$7</f>
        <v>4995.9516084587913</v>
      </c>
      <c r="O164" s="252">
        <f>4*IF(K164&lt;=3,K164*'[3]Base Costs'!$B$8,IF(L164&lt;=3,L164*'[3]Base Costs'!$B$9,'[3]Base Costs'!$B$10*M164))</f>
        <v>1400</v>
      </c>
      <c r="P164" s="252">
        <f>4*C164*'[3]Base Costs'!$B$11</f>
        <v>19793.403394018333</v>
      </c>
      <c r="Q164">
        <f>'[3]Base Costs'!$B$13+'[3]Base Costs'!$B$14</f>
        <v>414</v>
      </c>
      <c r="R164" s="239">
        <f>'[3]Base Costs'!$D$2</f>
        <v>1105.3024868650327</v>
      </c>
      <c r="S164" s="254">
        <f t="shared" si="20"/>
        <v>7915.254095323824</v>
      </c>
    </row>
    <row r="165" spans="1:19" x14ac:dyDescent="0.25">
      <c r="A165" s="248" t="s">
        <v>988</v>
      </c>
      <c r="B165" s="248" t="s">
        <v>920</v>
      </c>
      <c r="C165" s="249">
        <v>164.91928725109986</v>
      </c>
      <c r="D165" s="250">
        <f>C165*'[3]Base Costs'!$B$5</f>
        <v>164.91928725109986</v>
      </c>
      <c r="E165" s="250">
        <f t="shared" si="14"/>
        <v>21</v>
      </c>
      <c r="F165" s="250">
        <f t="shared" si="15"/>
        <v>5</v>
      </c>
      <c r="G165" s="250">
        <f t="shared" si="16"/>
        <v>2</v>
      </c>
      <c r="H165" s="251">
        <f>4*D165*'[3]Base Costs'!$B$7</f>
        <v>32776.718825432596</v>
      </c>
      <c r="I165" s="252">
        <f>4*IF(E165&lt;=3,E165*'[3]Base Costs'!$B$8,IF(F165&lt;=3,F165*'[3]Base Costs'!$B$9,'[3]Base Costs'!$B$10*G165))</f>
        <v>8800</v>
      </c>
      <c r="J165" s="253">
        <f>C165*'[3]Base Costs'!$B$6</f>
        <v>41.889498961779367</v>
      </c>
      <c r="K165" s="250">
        <f t="shared" si="17"/>
        <v>6</v>
      </c>
      <c r="L165" s="250">
        <f t="shared" si="18"/>
        <v>2</v>
      </c>
      <c r="M165" s="250">
        <f t="shared" si="19"/>
        <v>1</v>
      </c>
      <c r="N165" s="251">
        <f>4*J165*'[3]Base Costs'!$B$7</f>
        <v>8325.2865816598805</v>
      </c>
      <c r="O165" s="252">
        <f>4*IF(K165&lt;=3,K165*'[3]Base Costs'!$B$8,IF(L165&lt;=3,L165*'[3]Base Costs'!$B$9,'[3]Base Costs'!$B$10*M165))</f>
        <v>2800</v>
      </c>
      <c r="P165" s="252">
        <f>4*C165*'[3]Base Costs'!$B$11</f>
        <v>32983.85745021997</v>
      </c>
      <c r="Q165">
        <f>'[3]Base Costs'!$B$13+'[3]Base Costs'!$B$14</f>
        <v>414</v>
      </c>
      <c r="R165" s="239">
        <f>'[3]Base Costs'!$D$2</f>
        <v>1105.3024868650327</v>
      </c>
      <c r="S165" s="254">
        <f t="shared" si="20"/>
        <v>12644.589068524914</v>
      </c>
    </row>
    <row r="166" spans="1:19" x14ac:dyDescent="0.25">
      <c r="A166" s="248" t="s">
        <v>988</v>
      </c>
      <c r="B166" s="248" t="s">
        <v>921</v>
      </c>
      <c r="C166" s="249">
        <v>83.256593440000003</v>
      </c>
      <c r="D166" s="250">
        <f>C166*'[3]Base Costs'!$B$5</f>
        <v>83.256593440000003</v>
      </c>
      <c r="E166" s="250">
        <f t="shared" si="14"/>
        <v>11</v>
      </c>
      <c r="F166" s="250">
        <f t="shared" si="15"/>
        <v>3</v>
      </c>
      <c r="G166" s="250">
        <f t="shared" si="16"/>
        <v>1</v>
      </c>
      <c r="H166" s="251">
        <f>4*D166*'[3]Base Costs'!$B$7</f>
        <v>16546.748406639363</v>
      </c>
      <c r="I166" s="252">
        <f>4*IF(E166&lt;=3,E166*'[3]Base Costs'!$B$8,IF(F166&lt;=3,F166*'[3]Base Costs'!$B$9,'[3]Base Costs'!$B$10*G166))</f>
        <v>4200</v>
      </c>
      <c r="J166" s="253">
        <f>C166*'[3]Base Costs'!$B$6</f>
        <v>21.14717473376</v>
      </c>
      <c r="K166" s="250">
        <f t="shared" si="17"/>
        <v>3</v>
      </c>
      <c r="L166" s="250">
        <f t="shared" si="18"/>
        <v>1</v>
      </c>
      <c r="M166" s="250">
        <f t="shared" si="19"/>
        <v>1</v>
      </c>
      <c r="N166" s="251">
        <f>4*J166*'[3]Base Costs'!$B$7</f>
        <v>4202.8740952863982</v>
      </c>
      <c r="O166" s="252">
        <f>4*IF(K166&lt;=3,K166*'[3]Base Costs'!$B$8,IF(L166&lt;=3,L166*'[3]Base Costs'!$B$9,'[3]Base Costs'!$B$10*M166))</f>
        <v>1500</v>
      </c>
      <c r="P166" s="252">
        <f>4*C166*'[3]Base Costs'!$B$11</f>
        <v>16651.318687999999</v>
      </c>
      <c r="Q166">
        <f>'[3]Base Costs'!$B$13+'[3]Base Costs'!$B$14</f>
        <v>414</v>
      </c>
      <c r="R166" s="239">
        <f>'[3]Base Costs'!$D$2</f>
        <v>1105.3024868650327</v>
      </c>
      <c r="S166" s="254">
        <f t="shared" si="20"/>
        <v>7222.1765821514309</v>
      </c>
    </row>
    <row r="167" spans="1:19" x14ac:dyDescent="0.25">
      <c r="A167" s="248" t="s">
        <v>988</v>
      </c>
      <c r="B167" s="248" t="s">
        <v>922</v>
      </c>
      <c r="C167" s="249">
        <v>164.49962688673529</v>
      </c>
      <c r="D167" s="250">
        <f>C167*'[3]Base Costs'!$B$5</f>
        <v>164.49962688673529</v>
      </c>
      <c r="E167" s="250">
        <f t="shared" si="14"/>
        <v>21</v>
      </c>
      <c r="F167" s="250">
        <f t="shared" si="15"/>
        <v>5</v>
      </c>
      <c r="G167" s="250">
        <f t="shared" si="16"/>
        <v>2</v>
      </c>
      <c r="H167" s="251">
        <f>4*D167*'[3]Base Costs'!$B$7</f>
        <v>32693.313845977322</v>
      </c>
      <c r="I167" s="252">
        <f>4*IF(E167&lt;=3,E167*'[3]Base Costs'!$B$8,IF(F167&lt;=3,F167*'[3]Base Costs'!$B$9,'[3]Base Costs'!$B$10*G167))</f>
        <v>8800</v>
      </c>
      <c r="J167" s="253">
        <f>C167*'[3]Base Costs'!$B$6</f>
        <v>41.782905229230764</v>
      </c>
      <c r="K167" s="250">
        <f t="shared" si="17"/>
        <v>6</v>
      </c>
      <c r="L167" s="250">
        <f t="shared" si="18"/>
        <v>2</v>
      </c>
      <c r="M167" s="250">
        <f t="shared" si="19"/>
        <v>1</v>
      </c>
      <c r="N167" s="251">
        <f>4*J167*'[3]Base Costs'!$B$7</f>
        <v>8304.10171687824</v>
      </c>
      <c r="O167" s="252">
        <f>4*IF(K167&lt;=3,K167*'[3]Base Costs'!$B$8,IF(L167&lt;=3,L167*'[3]Base Costs'!$B$9,'[3]Base Costs'!$B$10*M167))</f>
        <v>2800</v>
      </c>
      <c r="P167" s="252">
        <f>4*C167*'[3]Base Costs'!$B$11</f>
        <v>32899.925377347055</v>
      </c>
      <c r="Q167">
        <f>'[3]Base Costs'!$B$13+'[3]Base Costs'!$B$14</f>
        <v>414</v>
      </c>
      <c r="R167" s="239">
        <f>'[3]Base Costs'!$D$2</f>
        <v>1105.3024868650327</v>
      </c>
      <c r="S167" s="254">
        <f t="shared" si="20"/>
        <v>12623.404203743274</v>
      </c>
    </row>
    <row r="168" spans="1:19" x14ac:dyDescent="0.25">
      <c r="A168" s="248" t="s">
        <v>988</v>
      </c>
      <c r="B168" s="248" t="s">
        <v>923</v>
      </c>
      <c r="C168" s="249">
        <v>48.552871939987305</v>
      </c>
      <c r="D168" s="250">
        <f>C168*'[3]Base Costs'!$B$5</f>
        <v>48.552871939987305</v>
      </c>
      <c r="E168" s="250">
        <f t="shared" si="14"/>
        <v>7</v>
      </c>
      <c r="F168" s="250">
        <f t="shared" si="15"/>
        <v>2</v>
      </c>
      <c r="G168" s="250">
        <f t="shared" si="16"/>
        <v>1</v>
      </c>
      <c r="H168" s="251">
        <f>4*D168*'[3]Base Costs'!$B$7</f>
        <v>9649.591980840838</v>
      </c>
      <c r="I168" s="252">
        <f>4*IF(E168&lt;=3,E168*'[3]Base Costs'!$B$8,IF(F168&lt;=3,F168*'[3]Base Costs'!$B$9,'[3]Base Costs'!$B$10*G168))</f>
        <v>2800</v>
      </c>
      <c r="J168" s="253">
        <f>C168*'[3]Base Costs'!$B$6</f>
        <v>12.332429472756775</v>
      </c>
      <c r="K168" s="250">
        <f t="shared" si="17"/>
        <v>2</v>
      </c>
      <c r="L168" s="250">
        <f t="shared" si="18"/>
        <v>1</v>
      </c>
      <c r="M168" s="250">
        <f t="shared" si="19"/>
        <v>1</v>
      </c>
      <c r="N168" s="251">
        <f>4*J168*'[3]Base Costs'!$B$7</f>
        <v>2450.9963631335727</v>
      </c>
      <c r="O168" s="252">
        <f>4*IF(K168&lt;=3,K168*'[3]Base Costs'!$B$8,IF(L168&lt;=3,L168*'[3]Base Costs'!$B$9,'[3]Base Costs'!$B$10*M168))</f>
        <v>1000</v>
      </c>
      <c r="P168" s="252">
        <f>4*C168*'[3]Base Costs'!$B$11</f>
        <v>9710.5743879974616</v>
      </c>
      <c r="Q168">
        <f>'[3]Base Costs'!$B$13+'[3]Base Costs'!$B$14</f>
        <v>414</v>
      </c>
      <c r="R168" s="239">
        <f>'[3]Base Costs'!$D$2</f>
        <v>1105.3024868650327</v>
      </c>
      <c r="S168" s="254">
        <f t="shared" si="20"/>
        <v>4970.2988499986059</v>
      </c>
    </row>
    <row r="169" spans="1:19" x14ac:dyDescent="0.25">
      <c r="A169" s="248" t="s">
        <v>988</v>
      </c>
      <c r="B169" s="248" t="s">
        <v>924</v>
      </c>
      <c r="C169" s="249">
        <v>407.12826456591426</v>
      </c>
      <c r="D169" s="250">
        <f>C169*'[3]Base Costs'!$B$5</f>
        <v>407.12826456591426</v>
      </c>
      <c r="E169" s="250">
        <f t="shared" si="14"/>
        <v>51</v>
      </c>
      <c r="F169" s="250">
        <f t="shared" si="15"/>
        <v>11</v>
      </c>
      <c r="G169" s="250">
        <f t="shared" si="16"/>
        <v>3</v>
      </c>
      <c r="H169" s="251">
        <f>4*D169*'[3]Base Costs'!$B$7</f>
        <v>80914.299812888072</v>
      </c>
      <c r="I169" s="252">
        <f>4*IF(E169&lt;=3,E169*'[3]Base Costs'!$B$8,IF(F169&lt;=3,F169*'[3]Base Costs'!$B$9,'[3]Base Costs'!$B$10*G169))</f>
        <v>13200</v>
      </c>
      <c r="J169" s="253">
        <f>C169*'[3]Base Costs'!$B$6</f>
        <v>103.41057919974223</v>
      </c>
      <c r="K169" s="250">
        <f t="shared" si="17"/>
        <v>13</v>
      </c>
      <c r="L169" s="250">
        <f t="shared" si="18"/>
        <v>3</v>
      </c>
      <c r="M169" s="250">
        <f t="shared" si="19"/>
        <v>1</v>
      </c>
      <c r="N169" s="251">
        <f>4*J169*'[3]Base Costs'!$B$7</f>
        <v>20552.232152473574</v>
      </c>
      <c r="O169" s="252">
        <f>4*IF(K169&lt;=3,K169*'[3]Base Costs'!$B$8,IF(L169&lt;=3,L169*'[3]Base Costs'!$B$9,'[3]Base Costs'!$B$10*M169))</f>
        <v>4200</v>
      </c>
      <c r="P169" s="252">
        <f>4*C169*'[3]Base Costs'!$B$11</f>
        <v>81425.652913182857</v>
      </c>
      <c r="Q169">
        <f>'[3]Base Costs'!$B$13+'[3]Base Costs'!$B$14</f>
        <v>414</v>
      </c>
      <c r="R169" s="239">
        <f>'[3]Base Costs'!$D$2</f>
        <v>1105.3024868650327</v>
      </c>
      <c r="S169" s="254">
        <f t="shared" si="20"/>
        <v>26271.534639338606</v>
      </c>
    </row>
    <row r="170" spans="1:19" x14ac:dyDescent="0.25">
      <c r="A170" s="248" t="s">
        <v>988</v>
      </c>
      <c r="B170" s="248" t="s">
        <v>925</v>
      </c>
      <c r="C170" s="249">
        <v>181.12060026521237</v>
      </c>
      <c r="D170" s="250">
        <f>C170*'[3]Base Costs'!$B$5</f>
        <v>181.12060026521237</v>
      </c>
      <c r="E170" s="250">
        <f t="shared" si="14"/>
        <v>23</v>
      </c>
      <c r="F170" s="250">
        <f t="shared" si="15"/>
        <v>5</v>
      </c>
      <c r="G170" s="250">
        <f t="shared" si="16"/>
        <v>2</v>
      </c>
      <c r="H170" s="251">
        <f>4*D170*'[3]Base Costs'!$B$7</f>
        <v>35996.632579109377</v>
      </c>
      <c r="I170" s="252">
        <f>4*IF(E170&lt;=3,E170*'[3]Base Costs'!$B$8,IF(F170&lt;=3,F170*'[3]Base Costs'!$B$9,'[3]Base Costs'!$B$10*G170))</f>
        <v>8800</v>
      </c>
      <c r="J170" s="253">
        <f>C170*'[3]Base Costs'!$B$6</f>
        <v>46.00463246736394</v>
      </c>
      <c r="K170" s="250">
        <f t="shared" si="17"/>
        <v>6</v>
      </c>
      <c r="L170" s="250">
        <f t="shared" si="18"/>
        <v>2</v>
      </c>
      <c r="M170" s="250">
        <f t="shared" si="19"/>
        <v>1</v>
      </c>
      <c r="N170" s="251">
        <f>4*J170*'[3]Base Costs'!$B$7</f>
        <v>9143.1446750937794</v>
      </c>
      <c r="O170" s="252">
        <f>4*IF(K170&lt;=3,K170*'[3]Base Costs'!$B$8,IF(L170&lt;=3,L170*'[3]Base Costs'!$B$9,'[3]Base Costs'!$B$10*M170))</f>
        <v>2800</v>
      </c>
      <c r="P170" s="252">
        <f>4*C170*'[3]Base Costs'!$B$11</f>
        <v>36224.120053042476</v>
      </c>
      <c r="Q170">
        <f>'[3]Base Costs'!$B$13+'[3]Base Costs'!$B$14</f>
        <v>414</v>
      </c>
      <c r="R170" s="239">
        <f>'[3]Base Costs'!$D$2</f>
        <v>1105.3024868650327</v>
      </c>
      <c r="S170" s="254">
        <f t="shared" si="20"/>
        <v>13462.447161958811</v>
      </c>
    </row>
    <row r="171" spans="1:19" x14ac:dyDescent="0.25">
      <c r="A171" s="248" t="s">
        <v>988</v>
      </c>
      <c r="B171" s="248" t="s">
        <v>926</v>
      </c>
      <c r="C171" s="249">
        <v>42.999976575000005</v>
      </c>
      <c r="D171" s="250">
        <f>C171*'[3]Base Costs'!$B$5</f>
        <v>42.999976575000005</v>
      </c>
      <c r="E171" s="250">
        <f t="shared" si="14"/>
        <v>6</v>
      </c>
      <c r="F171" s="250">
        <f t="shared" si="15"/>
        <v>2</v>
      </c>
      <c r="G171" s="250">
        <f t="shared" si="16"/>
        <v>1</v>
      </c>
      <c r="H171" s="251">
        <f>4*D171*'[3]Base Costs'!$B$7</f>
        <v>8545.9873444218028</v>
      </c>
      <c r="I171" s="252">
        <f>4*IF(E171&lt;=3,E171*'[3]Base Costs'!$B$8,IF(F171&lt;=3,F171*'[3]Base Costs'!$B$9,'[3]Base Costs'!$B$10*G171))</f>
        <v>2800</v>
      </c>
      <c r="J171" s="253">
        <f>C171*'[3]Base Costs'!$B$6</f>
        <v>10.921994050050001</v>
      </c>
      <c r="K171" s="250">
        <f t="shared" si="17"/>
        <v>2</v>
      </c>
      <c r="L171" s="250">
        <f t="shared" si="18"/>
        <v>1</v>
      </c>
      <c r="M171" s="250">
        <f t="shared" si="19"/>
        <v>1</v>
      </c>
      <c r="N171" s="251">
        <f>4*J171*'[3]Base Costs'!$B$7</f>
        <v>2170.6807854831377</v>
      </c>
      <c r="O171" s="252">
        <f>4*IF(K171&lt;=3,K171*'[3]Base Costs'!$B$8,IF(L171&lt;=3,L171*'[3]Base Costs'!$B$9,'[3]Base Costs'!$B$10*M171))</f>
        <v>1000</v>
      </c>
      <c r="P171" s="252">
        <f>4*C171*'[3]Base Costs'!$B$11</f>
        <v>8599.9953150000001</v>
      </c>
      <c r="Q171">
        <f>'[3]Base Costs'!$B$13+'[3]Base Costs'!$B$14</f>
        <v>414</v>
      </c>
      <c r="R171" s="239">
        <f>'[3]Base Costs'!$D$2</f>
        <v>1105.3024868650327</v>
      </c>
      <c r="S171" s="254">
        <f t="shared" si="20"/>
        <v>4689.9832723481704</v>
      </c>
    </row>
    <row r="172" spans="1:19" x14ac:dyDescent="0.25">
      <c r="A172" s="248" t="s">
        <v>988</v>
      </c>
      <c r="B172" s="248" t="s">
        <v>927</v>
      </c>
      <c r="C172" s="249">
        <v>94.400781835000004</v>
      </c>
      <c r="D172" s="250">
        <f>C172*'[3]Base Costs'!$B$5</f>
        <v>94.400781835000004</v>
      </c>
      <c r="E172" s="250">
        <f t="shared" si="14"/>
        <v>12</v>
      </c>
      <c r="F172" s="250">
        <f t="shared" si="15"/>
        <v>3</v>
      </c>
      <c r="G172" s="250">
        <f t="shared" si="16"/>
        <v>1</v>
      </c>
      <c r="H172" s="251">
        <f>4*D172*'[3]Base Costs'!$B$7</f>
        <v>18761.588985015242</v>
      </c>
      <c r="I172" s="252">
        <f>4*IF(E172&lt;=3,E172*'[3]Base Costs'!$B$8,IF(F172&lt;=3,F172*'[3]Base Costs'!$B$9,'[3]Base Costs'!$B$10*G172))</f>
        <v>4200</v>
      </c>
      <c r="J172" s="253">
        <f>C172*'[3]Base Costs'!$B$6</f>
        <v>23.97779858609</v>
      </c>
      <c r="K172" s="250">
        <f t="shared" si="17"/>
        <v>3</v>
      </c>
      <c r="L172" s="250">
        <f t="shared" si="18"/>
        <v>1</v>
      </c>
      <c r="M172" s="250">
        <f t="shared" si="19"/>
        <v>1</v>
      </c>
      <c r="N172" s="251">
        <f>4*J172*'[3]Base Costs'!$B$7</f>
        <v>4765.4436021938718</v>
      </c>
      <c r="O172" s="252">
        <f>4*IF(K172&lt;=3,K172*'[3]Base Costs'!$B$8,IF(L172&lt;=3,L172*'[3]Base Costs'!$B$9,'[3]Base Costs'!$B$10*M172))</f>
        <v>1500</v>
      </c>
      <c r="P172" s="252">
        <f>4*C172*'[3]Base Costs'!$B$11</f>
        <v>18880.156367</v>
      </c>
      <c r="Q172">
        <f>'[3]Base Costs'!$B$13+'[3]Base Costs'!$B$14</f>
        <v>414</v>
      </c>
      <c r="R172" s="239">
        <f>'[3]Base Costs'!$D$2</f>
        <v>1105.3024868650327</v>
      </c>
      <c r="S172" s="254">
        <f t="shared" si="20"/>
        <v>7784.7460890589045</v>
      </c>
    </row>
    <row r="173" spans="1:19" x14ac:dyDescent="0.25">
      <c r="A173" s="248" t="s">
        <v>988</v>
      </c>
      <c r="B173" s="248" t="s">
        <v>928</v>
      </c>
      <c r="C173" s="249">
        <v>173.58868725658795</v>
      </c>
      <c r="D173" s="250">
        <f>C173*'[3]Base Costs'!$B$5</f>
        <v>173.58868725658795</v>
      </c>
      <c r="E173" s="250">
        <f t="shared" si="14"/>
        <v>22</v>
      </c>
      <c r="F173" s="250">
        <f t="shared" si="15"/>
        <v>5</v>
      </c>
      <c r="G173" s="250">
        <f t="shared" si="16"/>
        <v>2</v>
      </c>
      <c r="H173" s="251">
        <f>4*D173*'[3]Base Costs'!$B$7</f>
        <v>34499.710060123318</v>
      </c>
      <c r="I173" s="252">
        <f>4*IF(E173&lt;=3,E173*'[3]Base Costs'!$B$8,IF(F173&lt;=3,F173*'[3]Base Costs'!$B$9,'[3]Base Costs'!$B$10*G173))</f>
        <v>8800</v>
      </c>
      <c r="J173" s="253">
        <f>C173*'[3]Base Costs'!$B$6</f>
        <v>44.091526563173339</v>
      </c>
      <c r="K173" s="250">
        <f t="shared" si="17"/>
        <v>6</v>
      </c>
      <c r="L173" s="250">
        <f t="shared" si="18"/>
        <v>2</v>
      </c>
      <c r="M173" s="250">
        <f t="shared" si="19"/>
        <v>1</v>
      </c>
      <c r="N173" s="251">
        <f>4*J173*'[3]Base Costs'!$B$7</f>
        <v>8762.9263552713237</v>
      </c>
      <c r="O173" s="252">
        <f>4*IF(K173&lt;=3,K173*'[3]Base Costs'!$B$8,IF(L173&lt;=3,L173*'[3]Base Costs'!$B$9,'[3]Base Costs'!$B$10*M173))</f>
        <v>2800</v>
      </c>
      <c r="P173" s="252">
        <f>4*C173*'[3]Base Costs'!$B$11</f>
        <v>34717.737451317589</v>
      </c>
      <c r="Q173">
        <f>'[3]Base Costs'!$B$13+'[3]Base Costs'!$B$14</f>
        <v>414</v>
      </c>
      <c r="R173" s="239">
        <f>'[3]Base Costs'!$D$2</f>
        <v>1105.3024868650327</v>
      </c>
      <c r="S173" s="254">
        <f t="shared" si="20"/>
        <v>13082.228842136356</v>
      </c>
    </row>
    <row r="174" spans="1:19" x14ac:dyDescent="0.25">
      <c r="A174" s="248" t="s">
        <v>988</v>
      </c>
      <c r="B174" s="248" t="s">
        <v>929</v>
      </c>
      <c r="C174" s="249">
        <v>67.099633015000009</v>
      </c>
      <c r="D174" s="250">
        <f>C174*'[3]Base Costs'!$B$5</f>
        <v>67.099633015000009</v>
      </c>
      <c r="E174" s="250">
        <f t="shared" si="14"/>
        <v>9</v>
      </c>
      <c r="F174" s="250">
        <f t="shared" si="15"/>
        <v>2</v>
      </c>
      <c r="G174" s="250">
        <f t="shared" si="16"/>
        <v>1</v>
      </c>
      <c r="H174" s="251">
        <f>4*D174*'[3]Base Costs'!$B$7</f>
        <v>13335.649463933163</v>
      </c>
      <c r="I174" s="252">
        <f>4*IF(E174&lt;=3,E174*'[3]Base Costs'!$B$8,IF(F174&lt;=3,F174*'[3]Base Costs'!$B$9,'[3]Base Costs'!$B$10*G174))</f>
        <v>2800</v>
      </c>
      <c r="J174" s="253">
        <f>C174*'[3]Base Costs'!$B$6</f>
        <v>17.043306785810003</v>
      </c>
      <c r="K174" s="250">
        <f t="shared" si="17"/>
        <v>3</v>
      </c>
      <c r="L174" s="250">
        <f t="shared" si="18"/>
        <v>1</v>
      </c>
      <c r="M174" s="250">
        <f t="shared" si="19"/>
        <v>1</v>
      </c>
      <c r="N174" s="251">
        <f>4*J174*'[3]Base Costs'!$B$7</f>
        <v>3387.2549638390237</v>
      </c>
      <c r="O174" s="252">
        <f>4*IF(K174&lt;=3,K174*'[3]Base Costs'!$B$8,IF(L174&lt;=3,L174*'[3]Base Costs'!$B$9,'[3]Base Costs'!$B$10*M174))</f>
        <v>1500</v>
      </c>
      <c r="P174" s="252">
        <f>4*C174*'[3]Base Costs'!$B$11</f>
        <v>13419.926603000002</v>
      </c>
      <c r="Q174">
        <f>'[3]Base Costs'!$B$13+'[3]Base Costs'!$B$14</f>
        <v>414</v>
      </c>
      <c r="R174" s="239">
        <f>'[3]Base Costs'!$D$2</f>
        <v>1105.3024868650327</v>
      </c>
      <c r="S174" s="254">
        <f t="shared" si="20"/>
        <v>6406.5574507040565</v>
      </c>
    </row>
    <row r="175" spans="1:19" x14ac:dyDescent="0.25">
      <c r="A175" s="248" t="s">
        <v>988</v>
      </c>
      <c r="B175" s="248" t="s">
        <v>930</v>
      </c>
      <c r="C175" s="249">
        <v>178.90154895000001</v>
      </c>
      <c r="D175" s="250">
        <f>C175*'[3]Base Costs'!$B$5</f>
        <v>178.90154895000001</v>
      </c>
      <c r="E175" s="250">
        <f t="shared" si="14"/>
        <v>23</v>
      </c>
      <c r="F175" s="250">
        <f t="shared" si="15"/>
        <v>5</v>
      </c>
      <c r="G175" s="250">
        <f t="shared" si="16"/>
        <v>2</v>
      </c>
      <c r="H175" s="251">
        <f>4*D175*'[3]Base Costs'!$B$7</f>
        <v>35555.609444518806</v>
      </c>
      <c r="I175" s="252">
        <f>4*IF(E175&lt;=3,E175*'[3]Base Costs'!$B$8,IF(F175&lt;=3,F175*'[3]Base Costs'!$B$9,'[3]Base Costs'!$B$10*G175))</f>
        <v>8800</v>
      </c>
      <c r="J175" s="253">
        <f>C175*'[3]Base Costs'!$B$6</f>
        <v>45.440993433300001</v>
      </c>
      <c r="K175" s="250">
        <f t="shared" si="17"/>
        <v>6</v>
      </c>
      <c r="L175" s="250">
        <f t="shared" si="18"/>
        <v>2</v>
      </c>
      <c r="M175" s="250">
        <f t="shared" si="19"/>
        <v>1</v>
      </c>
      <c r="N175" s="251">
        <f>4*J175*'[3]Base Costs'!$B$7</f>
        <v>9031.1247989077765</v>
      </c>
      <c r="O175" s="252">
        <f>4*IF(K175&lt;=3,K175*'[3]Base Costs'!$B$8,IF(L175&lt;=3,L175*'[3]Base Costs'!$B$9,'[3]Base Costs'!$B$10*M175))</f>
        <v>2800</v>
      </c>
      <c r="P175" s="252">
        <f>4*C175*'[3]Base Costs'!$B$11</f>
        <v>35780.309789999999</v>
      </c>
      <c r="Q175">
        <f>'[3]Base Costs'!$B$13+'[3]Base Costs'!$B$14</f>
        <v>414</v>
      </c>
      <c r="R175" s="239">
        <f>'[3]Base Costs'!$D$2</f>
        <v>1105.3024868650327</v>
      </c>
      <c r="S175" s="254">
        <f t="shared" si="20"/>
        <v>13350.42728577281</v>
      </c>
    </row>
    <row r="176" spans="1:19" x14ac:dyDescent="0.25">
      <c r="A176" s="248" t="s">
        <v>988</v>
      </c>
      <c r="B176" s="248" t="s">
        <v>931</v>
      </c>
      <c r="C176" s="249">
        <v>158.87435341789035</v>
      </c>
      <c r="D176" s="250">
        <f>C176*'[3]Base Costs'!$B$5</f>
        <v>158.87435341789035</v>
      </c>
      <c r="E176" s="250">
        <f t="shared" si="14"/>
        <v>20</v>
      </c>
      <c r="F176" s="250">
        <f t="shared" si="15"/>
        <v>4</v>
      </c>
      <c r="G176" s="250">
        <f t="shared" si="16"/>
        <v>1</v>
      </c>
      <c r="H176" s="251">
        <f>4*D176*'[3]Base Costs'!$B$7</f>
        <v>31575.324495685203</v>
      </c>
      <c r="I176" s="252">
        <f>4*IF(E176&lt;=3,E176*'[3]Base Costs'!$B$8,IF(F176&lt;=3,F176*'[3]Base Costs'!$B$9,'[3]Base Costs'!$B$10*G176))</f>
        <v>4400</v>
      </c>
      <c r="J176" s="253">
        <f>C176*'[3]Base Costs'!$B$6</f>
        <v>40.354085768144152</v>
      </c>
      <c r="K176" s="250">
        <f t="shared" si="17"/>
        <v>6</v>
      </c>
      <c r="L176" s="250">
        <f t="shared" si="18"/>
        <v>2</v>
      </c>
      <c r="M176" s="250">
        <f t="shared" si="19"/>
        <v>1</v>
      </c>
      <c r="N176" s="251">
        <f>4*J176*'[3]Base Costs'!$B$7</f>
        <v>8020.1324219040425</v>
      </c>
      <c r="O176" s="252">
        <f>4*IF(K176&lt;=3,K176*'[3]Base Costs'!$B$8,IF(L176&lt;=3,L176*'[3]Base Costs'!$B$9,'[3]Base Costs'!$B$10*M176))</f>
        <v>2800</v>
      </c>
      <c r="P176" s="252">
        <f>4*C176*'[3]Base Costs'!$B$11</f>
        <v>31774.870683578069</v>
      </c>
      <c r="Q176">
        <f>'[3]Base Costs'!$B$13+'[3]Base Costs'!$B$14</f>
        <v>414</v>
      </c>
      <c r="R176" s="239">
        <f>'[3]Base Costs'!$D$2</f>
        <v>1105.3024868650327</v>
      </c>
      <c r="S176" s="254">
        <f t="shared" si="20"/>
        <v>12339.434908769075</v>
      </c>
    </row>
    <row r="177" spans="1:19" x14ac:dyDescent="0.25">
      <c r="A177" s="248" t="s">
        <v>988</v>
      </c>
      <c r="B177" s="248" t="s">
        <v>932</v>
      </c>
      <c r="C177" s="249">
        <v>40.5625</v>
      </c>
      <c r="D177" s="250">
        <f>C177*'[3]Base Costs'!$B$5</f>
        <v>40.5625</v>
      </c>
      <c r="E177" s="250">
        <f t="shared" si="14"/>
        <v>6</v>
      </c>
      <c r="F177" s="250">
        <f t="shared" si="15"/>
        <v>2</v>
      </c>
      <c r="G177" s="250">
        <f t="shared" si="16"/>
        <v>1</v>
      </c>
      <c r="H177" s="251">
        <f>4*D177*'[3]Base Costs'!$B$7</f>
        <v>8061.5535000000009</v>
      </c>
      <c r="I177" s="252">
        <f>4*IF(E177&lt;=3,E177*'[3]Base Costs'!$B$8,IF(F177&lt;=3,F177*'[3]Base Costs'!$B$9,'[3]Base Costs'!$B$10*G177))</f>
        <v>2800</v>
      </c>
      <c r="J177" s="253">
        <f>C177*'[3]Base Costs'!$B$6</f>
        <v>10.302875</v>
      </c>
      <c r="K177" s="250">
        <f t="shared" si="17"/>
        <v>2</v>
      </c>
      <c r="L177" s="250">
        <f t="shared" si="18"/>
        <v>1</v>
      </c>
      <c r="M177" s="250">
        <f t="shared" si="19"/>
        <v>1</v>
      </c>
      <c r="N177" s="251">
        <f>4*J177*'[3]Base Costs'!$B$7</f>
        <v>2047.6345890000002</v>
      </c>
      <c r="O177" s="252">
        <f>4*IF(K177&lt;=3,K177*'[3]Base Costs'!$B$8,IF(L177&lt;=3,L177*'[3]Base Costs'!$B$9,'[3]Base Costs'!$B$10*M177))</f>
        <v>1000</v>
      </c>
      <c r="P177" s="252">
        <f>4*C177*'[3]Base Costs'!$B$11</f>
        <v>8112.5</v>
      </c>
      <c r="Q177">
        <f>'[3]Base Costs'!$B$13+'[3]Base Costs'!$B$14</f>
        <v>414</v>
      </c>
      <c r="R177" s="239">
        <f>'[3]Base Costs'!$D$2</f>
        <v>1105.3024868650327</v>
      </c>
      <c r="S177" s="254">
        <f t="shared" si="20"/>
        <v>4566.937075865033</v>
      </c>
    </row>
    <row r="178" spans="1:19" x14ac:dyDescent="0.25">
      <c r="A178" s="248" t="s">
        <v>988</v>
      </c>
      <c r="B178" s="248" t="s">
        <v>933</v>
      </c>
      <c r="C178" s="249">
        <v>97.77761715318502</v>
      </c>
      <c r="D178" s="250">
        <f>C178*'[3]Base Costs'!$B$5</f>
        <v>97.77761715318502</v>
      </c>
      <c r="E178" s="250">
        <f t="shared" si="14"/>
        <v>13</v>
      </c>
      <c r="F178" s="250">
        <f t="shared" si="15"/>
        <v>3</v>
      </c>
      <c r="G178" s="250">
        <f t="shared" si="16"/>
        <v>1</v>
      </c>
      <c r="H178" s="251">
        <f>4*D178*'[3]Base Costs'!$B$7</f>
        <v>19432.714743492605</v>
      </c>
      <c r="I178" s="252">
        <f>4*IF(E178&lt;=3,E178*'[3]Base Costs'!$B$8,IF(F178&lt;=3,F178*'[3]Base Costs'!$B$9,'[3]Base Costs'!$B$10*G178))</f>
        <v>4200</v>
      </c>
      <c r="J178" s="253">
        <f>C178*'[3]Base Costs'!$B$6</f>
        <v>24.835514756908996</v>
      </c>
      <c r="K178" s="250">
        <f t="shared" si="17"/>
        <v>4</v>
      </c>
      <c r="L178" s="250">
        <f t="shared" si="18"/>
        <v>1</v>
      </c>
      <c r="M178" s="250">
        <f t="shared" si="19"/>
        <v>1</v>
      </c>
      <c r="N178" s="251">
        <f>4*J178*'[3]Base Costs'!$B$7</f>
        <v>4935.9095448471226</v>
      </c>
      <c r="O178" s="252">
        <f>4*IF(K178&lt;=3,K178*'[3]Base Costs'!$B$8,IF(L178&lt;=3,L178*'[3]Base Costs'!$B$9,'[3]Base Costs'!$B$10*M178))</f>
        <v>1400</v>
      </c>
      <c r="P178" s="252">
        <f>4*C178*'[3]Base Costs'!$B$11</f>
        <v>19555.523430637004</v>
      </c>
      <c r="Q178">
        <f>'[3]Base Costs'!$B$13+'[3]Base Costs'!$B$14</f>
        <v>414</v>
      </c>
      <c r="R178" s="239">
        <f>'[3]Base Costs'!$D$2</f>
        <v>1105.3024868650327</v>
      </c>
      <c r="S178" s="254">
        <f t="shared" si="20"/>
        <v>7855.2120317121553</v>
      </c>
    </row>
    <row r="179" spans="1:19" x14ac:dyDescent="0.25">
      <c r="A179" s="248" t="s">
        <v>988</v>
      </c>
      <c r="B179" s="248" t="s">
        <v>934</v>
      </c>
      <c r="C179" s="249">
        <v>83.467340584756087</v>
      </c>
      <c r="D179" s="250">
        <f>C179*'[3]Base Costs'!$B$5</f>
        <v>83.467340584756087</v>
      </c>
      <c r="E179" s="250">
        <f t="shared" si="14"/>
        <v>11</v>
      </c>
      <c r="F179" s="250">
        <f t="shared" si="15"/>
        <v>3</v>
      </c>
      <c r="G179" s="250">
        <f t="shared" si="16"/>
        <v>1</v>
      </c>
      <c r="H179" s="251">
        <f>4*D179*'[3]Base Costs'!$B$7</f>
        <v>16588.633137176766</v>
      </c>
      <c r="I179" s="252">
        <f>4*IF(E179&lt;=3,E179*'[3]Base Costs'!$B$8,IF(F179&lt;=3,F179*'[3]Base Costs'!$B$9,'[3]Base Costs'!$B$10*G179))</f>
        <v>4200</v>
      </c>
      <c r="J179" s="253">
        <f>C179*'[3]Base Costs'!$B$6</f>
        <v>21.200704508528048</v>
      </c>
      <c r="K179" s="250">
        <f t="shared" si="17"/>
        <v>3</v>
      </c>
      <c r="L179" s="250">
        <f t="shared" si="18"/>
        <v>1</v>
      </c>
      <c r="M179" s="250">
        <f t="shared" si="19"/>
        <v>1</v>
      </c>
      <c r="N179" s="251">
        <f>4*J179*'[3]Base Costs'!$B$7</f>
        <v>4213.5128168428992</v>
      </c>
      <c r="O179" s="252">
        <f>4*IF(K179&lt;=3,K179*'[3]Base Costs'!$B$8,IF(L179&lt;=3,L179*'[3]Base Costs'!$B$9,'[3]Base Costs'!$B$10*M179))</f>
        <v>1500</v>
      </c>
      <c r="P179" s="252">
        <f>4*C179*'[3]Base Costs'!$B$11</f>
        <v>16693.468116951219</v>
      </c>
      <c r="Q179">
        <f>'[3]Base Costs'!$B$13+'[3]Base Costs'!$B$14</f>
        <v>414</v>
      </c>
      <c r="R179" s="239">
        <f>'[3]Base Costs'!$D$2</f>
        <v>1105.3024868650327</v>
      </c>
      <c r="S179" s="254">
        <f t="shared" si="20"/>
        <v>7232.8153037079319</v>
      </c>
    </row>
    <row r="180" spans="1:19" x14ac:dyDescent="0.25">
      <c r="A180" s="248" t="s">
        <v>988</v>
      </c>
      <c r="B180" s="248" t="s">
        <v>935</v>
      </c>
      <c r="C180" s="249">
        <v>89.999841785000001</v>
      </c>
      <c r="D180" s="250">
        <f>C180*'[3]Base Costs'!$B$5</f>
        <v>89.999841785000001</v>
      </c>
      <c r="E180" s="250">
        <f t="shared" si="14"/>
        <v>12</v>
      </c>
      <c r="F180" s="250">
        <f t="shared" si="15"/>
        <v>3</v>
      </c>
      <c r="G180" s="250">
        <f t="shared" si="16"/>
        <v>1</v>
      </c>
      <c r="H180" s="251">
        <f>4*D180*'[3]Base Costs'!$B$7</f>
        <v>17886.928555718041</v>
      </c>
      <c r="I180" s="252">
        <f>4*IF(E180&lt;=3,E180*'[3]Base Costs'!$B$8,IF(F180&lt;=3,F180*'[3]Base Costs'!$B$9,'[3]Base Costs'!$B$10*G180))</f>
        <v>4200</v>
      </c>
      <c r="J180" s="253">
        <f>C180*'[3]Base Costs'!$B$6</f>
        <v>22.859959813389999</v>
      </c>
      <c r="K180" s="250">
        <f t="shared" si="17"/>
        <v>3</v>
      </c>
      <c r="L180" s="250">
        <f t="shared" si="18"/>
        <v>1</v>
      </c>
      <c r="M180" s="250">
        <f t="shared" si="19"/>
        <v>1</v>
      </c>
      <c r="N180" s="251">
        <f>4*J180*'[3]Base Costs'!$B$7</f>
        <v>4543.2798531523822</v>
      </c>
      <c r="O180" s="252">
        <f>4*IF(K180&lt;=3,K180*'[3]Base Costs'!$B$8,IF(L180&lt;=3,L180*'[3]Base Costs'!$B$9,'[3]Base Costs'!$B$10*M180))</f>
        <v>1500</v>
      </c>
      <c r="P180" s="252">
        <f>4*C180*'[3]Base Costs'!$B$11</f>
        <v>17999.968357000002</v>
      </c>
      <c r="Q180">
        <f>'[3]Base Costs'!$B$13+'[3]Base Costs'!$B$14</f>
        <v>414</v>
      </c>
      <c r="R180" s="239">
        <f>'[3]Base Costs'!$D$2</f>
        <v>1105.3024868650327</v>
      </c>
      <c r="S180" s="254">
        <f t="shared" si="20"/>
        <v>7562.5823400174149</v>
      </c>
    </row>
    <row r="181" spans="1:19" x14ac:dyDescent="0.25">
      <c r="A181" s="248" t="s">
        <v>988</v>
      </c>
      <c r="B181" s="248" t="s">
        <v>936</v>
      </c>
      <c r="C181" s="249">
        <v>96.600016335000007</v>
      </c>
      <c r="D181" s="250">
        <f>C181*'[3]Base Costs'!$B$5</f>
        <v>96.600016335000007</v>
      </c>
      <c r="E181" s="250">
        <f t="shared" si="14"/>
        <v>13</v>
      </c>
      <c r="F181" s="250">
        <f t="shared" si="15"/>
        <v>3</v>
      </c>
      <c r="G181" s="250">
        <f t="shared" si="16"/>
        <v>1</v>
      </c>
      <c r="H181" s="251">
        <f>4*D181*'[3]Base Costs'!$B$7</f>
        <v>19198.673646483243</v>
      </c>
      <c r="I181" s="252">
        <f>4*IF(E181&lt;=3,E181*'[3]Base Costs'!$B$8,IF(F181&lt;=3,F181*'[3]Base Costs'!$B$9,'[3]Base Costs'!$B$10*G181))</f>
        <v>4200</v>
      </c>
      <c r="J181" s="253">
        <f>C181*'[3]Base Costs'!$B$6</f>
        <v>24.536404149090004</v>
      </c>
      <c r="K181" s="250">
        <f t="shared" si="17"/>
        <v>4</v>
      </c>
      <c r="L181" s="250">
        <f t="shared" si="18"/>
        <v>1</v>
      </c>
      <c r="M181" s="250">
        <f t="shared" si="19"/>
        <v>1</v>
      </c>
      <c r="N181" s="251">
        <f>4*J181*'[3]Base Costs'!$B$7</f>
        <v>4876.4631062067447</v>
      </c>
      <c r="O181" s="252">
        <f>4*IF(K181&lt;=3,K181*'[3]Base Costs'!$B$8,IF(L181&lt;=3,L181*'[3]Base Costs'!$B$9,'[3]Base Costs'!$B$10*M181))</f>
        <v>1400</v>
      </c>
      <c r="P181" s="252">
        <f>4*C181*'[3]Base Costs'!$B$11</f>
        <v>19320.003267</v>
      </c>
      <c r="Q181">
        <f>'[3]Base Costs'!$B$13+'[3]Base Costs'!$B$14</f>
        <v>414</v>
      </c>
      <c r="R181" s="239">
        <f>'[3]Base Costs'!$D$2</f>
        <v>1105.3024868650327</v>
      </c>
      <c r="S181" s="254">
        <f t="shared" si="20"/>
        <v>7795.7655930717774</v>
      </c>
    </row>
    <row r="182" spans="1:19" x14ac:dyDescent="0.25">
      <c r="A182" s="248" t="s">
        <v>988</v>
      </c>
      <c r="B182" s="248" t="s">
        <v>937</v>
      </c>
      <c r="C182" s="249">
        <v>52.422417441599976</v>
      </c>
      <c r="D182" s="250">
        <f>C182*'[3]Base Costs'!$B$5</f>
        <v>52.422417441599976</v>
      </c>
      <c r="E182" s="250">
        <f t="shared" si="14"/>
        <v>7</v>
      </c>
      <c r="F182" s="250">
        <f t="shared" si="15"/>
        <v>2</v>
      </c>
      <c r="G182" s="250">
        <f t="shared" si="16"/>
        <v>1</v>
      </c>
      <c r="H182" s="251">
        <f>4*D182*'[3]Base Costs'!$B$7</f>
        <v>10418.640932013346</v>
      </c>
      <c r="I182" s="252">
        <f>4*IF(E182&lt;=3,E182*'[3]Base Costs'!$B$8,IF(F182&lt;=3,F182*'[3]Base Costs'!$B$9,'[3]Base Costs'!$B$10*G182))</f>
        <v>2800</v>
      </c>
      <c r="J182" s="253">
        <f>C182*'[3]Base Costs'!$B$6</f>
        <v>13.315294030166394</v>
      </c>
      <c r="K182" s="250">
        <f t="shared" si="17"/>
        <v>2</v>
      </c>
      <c r="L182" s="250">
        <f t="shared" si="18"/>
        <v>1</v>
      </c>
      <c r="M182" s="250">
        <f t="shared" si="19"/>
        <v>1</v>
      </c>
      <c r="N182" s="251">
        <f>4*J182*'[3]Base Costs'!$B$7</f>
        <v>2646.3347967313903</v>
      </c>
      <c r="O182" s="252">
        <f>4*IF(K182&lt;=3,K182*'[3]Base Costs'!$B$8,IF(L182&lt;=3,L182*'[3]Base Costs'!$B$9,'[3]Base Costs'!$B$10*M182))</f>
        <v>1000</v>
      </c>
      <c r="P182" s="252">
        <f>4*C182*'[3]Base Costs'!$B$11</f>
        <v>10484.483488319995</v>
      </c>
      <c r="Q182">
        <f>'[3]Base Costs'!$B$13+'[3]Base Costs'!$B$14</f>
        <v>414</v>
      </c>
      <c r="R182" s="239">
        <f>'[3]Base Costs'!$D$2</f>
        <v>1105.3024868650327</v>
      </c>
      <c r="S182" s="254">
        <f t="shared" si="20"/>
        <v>5165.637283596423</v>
      </c>
    </row>
    <row r="183" spans="1:19" x14ac:dyDescent="0.25">
      <c r="A183" s="248" t="s">
        <v>988</v>
      </c>
      <c r="B183" s="248" t="s">
        <v>938</v>
      </c>
      <c r="C183" s="249">
        <v>138.82300364620804</v>
      </c>
      <c r="D183" s="250">
        <f>C183*'[3]Base Costs'!$B$5</f>
        <v>138.82300364620804</v>
      </c>
      <c r="E183" s="250">
        <f t="shared" si="14"/>
        <v>18</v>
      </c>
      <c r="F183" s="250">
        <f t="shared" si="15"/>
        <v>4</v>
      </c>
      <c r="G183" s="250">
        <f t="shared" si="16"/>
        <v>1</v>
      </c>
      <c r="H183" s="251">
        <f>4*D183*'[3]Base Costs'!$B$7</f>
        <v>27590.239036661973</v>
      </c>
      <c r="I183" s="252">
        <f>4*IF(E183&lt;=3,E183*'[3]Base Costs'!$B$8,IF(F183&lt;=3,F183*'[3]Base Costs'!$B$9,'[3]Base Costs'!$B$10*G183))</f>
        <v>4400</v>
      </c>
      <c r="J183" s="253">
        <f>C183*'[3]Base Costs'!$B$6</f>
        <v>35.261042926136845</v>
      </c>
      <c r="K183" s="250">
        <f t="shared" si="17"/>
        <v>5</v>
      </c>
      <c r="L183" s="250">
        <f t="shared" si="18"/>
        <v>1</v>
      </c>
      <c r="M183" s="250">
        <f t="shared" si="19"/>
        <v>1</v>
      </c>
      <c r="N183" s="251">
        <f>4*J183*'[3]Base Costs'!$B$7</f>
        <v>7007.9207153121424</v>
      </c>
      <c r="O183" s="252">
        <f>4*IF(K183&lt;=3,K183*'[3]Base Costs'!$B$8,IF(L183&lt;=3,L183*'[3]Base Costs'!$B$9,'[3]Base Costs'!$B$10*M183))</f>
        <v>1400</v>
      </c>
      <c r="P183" s="252">
        <f>4*C183*'[3]Base Costs'!$B$11</f>
        <v>27764.600729241607</v>
      </c>
      <c r="Q183">
        <f>'[3]Base Costs'!$B$13+'[3]Base Costs'!$B$14</f>
        <v>414</v>
      </c>
      <c r="R183" s="239">
        <f>'[3]Base Costs'!$D$2</f>
        <v>1105.3024868650327</v>
      </c>
      <c r="S183" s="254">
        <f t="shared" si="20"/>
        <v>9927.2232021771742</v>
      </c>
    </row>
    <row r="184" spans="1:19" x14ac:dyDescent="0.25">
      <c r="A184" s="248" t="s">
        <v>988</v>
      </c>
      <c r="B184" s="248" t="s">
        <v>939</v>
      </c>
      <c r="C184" s="249">
        <v>142.82094907483105</v>
      </c>
      <c r="D184" s="250">
        <f>C184*'[3]Base Costs'!$B$5</f>
        <v>142.82094907483105</v>
      </c>
      <c r="E184" s="250">
        <f t="shared" si="14"/>
        <v>18</v>
      </c>
      <c r="F184" s="250">
        <f t="shared" si="15"/>
        <v>4</v>
      </c>
      <c r="G184" s="250">
        <f t="shared" si="16"/>
        <v>1</v>
      </c>
      <c r="H184" s="251">
        <f>4*D184*'[3]Base Costs'!$B$7</f>
        <v>28384.806702928225</v>
      </c>
      <c r="I184" s="252">
        <f>4*IF(E184&lt;=3,E184*'[3]Base Costs'!$B$8,IF(F184&lt;=3,F184*'[3]Base Costs'!$B$9,'[3]Base Costs'!$B$10*G184))</f>
        <v>4400</v>
      </c>
      <c r="J184" s="253">
        <f>C184*'[3]Base Costs'!$B$6</f>
        <v>36.276521065007088</v>
      </c>
      <c r="K184" s="250">
        <f t="shared" si="17"/>
        <v>5</v>
      </c>
      <c r="L184" s="250">
        <f t="shared" si="18"/>
        <v>1</v>
      </c>
      <c r="M184" s="250">
        <f t="shared" si="19"/>
        <v>1</v>
      </c>
      <c r="N184" s="251">
        <f>4*J184*'[3]Base Costs'!$B$7</f>
        <v>7209.7409025437701</v>
      </c>
      <c r="O184" s="252">
        <f>4*IF(K184&lt;=3,K184*'[3]Base Costs'!$B$8,IF(L184&lt;=3,L184*'[3]Base Costs'!$B$9,'[3]Base Costs'!$B$10*M184))</f>
        <v>1400</v>
      </c>
      <c r="P184" s="252">
        <f>4*C184*'[3]Base Costs'!$B$11</f>
        <v>28564.189814966208</v>
      </c>
      <c r="Q184">
        <f>'[3]Base Costs'!$B$13+'[3]Base Costs'!$B$14</f>
        <v>414</v>
      </c>
      <c r="R184" s="239">
        <f>'[3]Base Costs'!$D$2</f>
        <v>1105.3024868650327</v>
      </c>
      <c r="S184" s="254">
        <f t="shared" si="20"/>
        <v>10129.043389408802</v>
      </c>
    </row>
    <row r="185" spans="1:19" x14ac:dyDescent="0.25">
      <c r="A185" s="248" t="s">
        <v>988</v>
      </c>
      <c r="B185" s="248" t="s">
        <v>940</v>
      </c>
      <c r="C185" s="249">
        <v>129.84675261997489</v>
      </c>
      <c r="D185" s="250">
        <f>C185*'[3]Base Costs'!$B$5</f>
        <v>129.84675261997489</v>
      </c>
      <c r="E185" s="250">
        <f t="shared" si="14"/>
        <v>17</v>
      </c>
      <c r="F185" s="250">
        <f t="shared" si="15"/>
        <v>4</v>
      </c>
      <c r="G185" s="250">
        <f t="shared" si="16"/>
        <v>1</v>
      </c>
      <c r="H185" s="251">
        <f>4*D185*'[3]Base Costs'!$B$7</f>
        <v>25806.263002704294</v>
      </c>
      <c r="I185" s="252">
        <f>4*IF(E185&lt;=3,E185*'[3]Base Costs'!$B$8,IF(F185&lt;=3,F185*'[3]Base Costs'!$B$9,'[3]Base Costs'!$B$10*G185))</f>
        <v>4400</v>
      </c>
      <c r="J185" s="253">
        <f>C185*'[3]Base Costs'!$B$6</f>
        <v>32.981075165473626</v>
      </c>
      <c r="K185" s="250">
        <f t="shared" si="17"/>
        <v>5</v>
      </c>
      <c r="L185" s="250">
        <f t="shared" si="18"/>
        <v>1</v>
      </c>
      <c r="M185" s="250">
        <f t="shared" si="19"/>
        <v>1</v>
      </c>
      <c r="N185" s="251">
        <f>4*J185*'[3]Base Costs'!$B$7</f>
        <v>6554.7908026868918</v>
      </c>
      <c r="O185" s="252">
        <f>4*IF(K185&lt;=3,K185*'[3]Base Costs'!$B$8,IF(L185&lt;=3,L185*'[3]Base Costs'!$B$9,'[3]Base Costs'!$B$10*M185))</f>
        <v>1400</v>
      </c>
      <c r="P185" s="252">
        <f>4*C185*'[3]Base Costs'!$B$11</f>
        <v>25969.350523994977</v>
      </c>
      <c r="Q185">
        <f>'[3]Base Costs'!$B$13+'[3]Base Costs'!$B$14</f>
        <v>414</v>
      </c>
      <c r="R185" s="239">
        <f>'[3]Base Costs'!$D$2</f>
        <v>1105.3024868650327</v>
      </c>
      <c r="S185" s="254">
        <f t="shared" si="20"/>
        <v>9474.0932895519254</v>
      </c>
    </row>
    <row r="186" spans="1:19" x14ac:dyDescent="0.25">
      <c r="A186" s="248" t="s">
        <v>988</v>
      </c>
      <c r="B186" s="248" t="s">
        <v>941</v>
      </c>
      <c r="C186" s="249">
        <v>160.10061849658041</v>
      </c>
      <c r="D186" s="250">
        <f>C186*'[3]Base Costs'!$B$5</f>
        <v>160.10061849658041</v>
      </c>
      <c r="E186" s="250">
        <f t="shared" si="14"/>
        <v>21</v>
      </c>
      <c r="F186" s="250">
        <f t="shared" si="15"/>
        <v>5</v>
      </c>
      <c r="G186" s="250">
        <f t="shared" si="16"/>
        <v>2</v>
      </c>
      <c r="H186" s="251">
        <f>4*D186*'[3]Base Costs'!$B$7</f>
        <v>31819.037322484382</v>
      </c>
      <c r="I186" s="252">
        <f>4*IF(E186&lt;=3,E186*'[3]Base Costs'!$B$8,IF(F186&lt;=3,F186*'[3]Base Costs'!$B$9,'[3]Base Costs'!$B$10*G186))</f>
        <v>8800</v>
      </c>
      <c r="J186" s="253">
        <f>C186*'[3]Base Costs'!$B$6</f>
        <v>40.665557098131423</v>
      </c>
      <c r="K186" s="250">
        <f t="shared" si="17"/>
        <v>6</v>
      </c>
      <c r="L186" s="250">
        <f t="shared" si="18"/>
        <v>2</v>
      </c>
      <c r="M186" s="250">
        <f t="shared" si="19"/>
        <v>1</v>
      </c>
      <c r="N186" s="251">
        <f>4*J186*'[3]Base Costs'!$B$7</f>
        <v>8082.0354799110328</v>
      </c>
      <c r="O186" s="252">
        <f>4*IF(K186&lt;=3,K186*'[3]Base Costs'!$B$8,IF(L186&lt;=3,L186*'[3]Base Costs'!$B$9,'[3]Base Costs'!$B$10*M186))</f>
        <v>2800</v>
      </c>
      <c r="P186" s="252">
        <f>4*C186*'[3]Base Costs'!$B$11</f>
        <v>32020.123699316082</v>
      </c>
      <c r="Q186">
        <f>'[3]Base Costs'!$B$13+'[3]Base Costs'!$B$14</f>
        <v>414</v>
      </c>
      <c r="R186" s="239">
        <f>'[3]Base Costs'!$D$2</f>
        <v>1105.3024868650327</v>
      </c>
      <c r="S186" s="254">
        <f t="shared" si="20"/>
        <v>12401.337966776066</v>
      </c>
    </row>
    <row r="187" spans="1:19" x14ac:dyDescent="0.25">
      <c r="A187" s="248" t="s">
        <v>988</v>
      </c>
      <c r="B187" s="248" t="s">
        <v>995</v>
      </c>
      <c r="C187" s="249">
        <v>48.899855555000002</v>
      </c>
      <c r="D187" s="250">
        <f>C187*'[3]Base Costs'!$B$5</f>
        <v>48.899855555000002</v>
      </c>
      <c r="E187" s="250">
        <f t="shared" si="14"/>
        <v>7</v>
      </c>
      <c r="F187" s="250">
        <f t="shared" si="15"/>
        <v>2</v>
      </c>
      <c r="G187" s="250">
        <f t="shared" si="16"/>
        <v>1</v>
      </c>
      <c r="H187" s="251">
        <f>4*D187*'[3]Base Costs'!$B$7</f>
        <v>9718.552892422922</v>
      </c>
      <c r="I187" s="252">
        <f>4*IF(E187&lt;=3,E187*'[3]Base Costs'!$B$8,IF(F187&lt;=3,F187*'[3]Base Costs'!$B$9,'[3]Base Costs'!$B$10*G187))</f>
        <v>2800</v>
      </c>
      <c r="J187" s="253">
        <f>C187*'[3]Base Costs'!$B$6</f>
        <v>12.420563310970001</v>
      </c>
      <c r="K187" s="250">
        <f t="shared" si="17"/>
        <v>2</v>
      </c>
      <c r="L187" s="250">
        <f t="shared" si="18"/>
        <v>1</v>
      </c>
      <c r="M187" s="250">
        <f t="shared" si="19"/>
        <v>1</v>
      </c>
      <c r="N187" s="251">
        <f>4*J187*'[3]Base Costs'!$B$7</f>
        <v>2468.5124346754224</v>
      </c>
      <c r="O187" s="252">
        <f>4*IF(K187&lt;=3,K187*'[3]Base Costs'!$B$8,IF(L187&lt;=3,L187*'[3]Base Costs'!$B$9,'[3]Base Costs'!$B$10*M187))</f>
        <v>1000</v>
      </c>
      <c r="P187" s="252">
        <f>4*C187*'[3]Base Costs'!$B$11</f>
        <v>9779.9711110000007</v>
      </c>
      <c r="Q187">
        <f>'[3]Base Costs'!$B$13+'[3]Base Costs'!$B$14</f>
        <v>414</v>
      </c>
      <c r="R187" s="239">
        <f>'[3]Base Costs'!$D$2</f>
        <v>1105.3024868650327</v>
      </c>
      <c r="S187" s="254">
        <f t="shared" si="20"/>
        <v>4987.8149215404555</v>
      </c>
    </row>
    <row r="188" spans="1:19" x14ac:dyDescent="0.25">
      <c r="A188" s="248" t="s">
        <v>988</v>
      </c>
      <c r="B188" s="248" t="s">
        <v>942</v>
      </c>
      <c r="C188" s="249">
        <v>155.20714591728358</v>
      </c>
      <c r="D188" s="250">
        <f>C188*'[3]Base Costs'!$B$5</f>
        <v>155.20714591728358</v>
      </c>
      <c r="E188" s="250">
        <f t="shared" si="14"/>
        <v>20</v>
      </c>
      <c r="F188" s="250">
        <f t="shared" si="15"/>
        <v>4</v>
      </c>
      <c r="G188" s="250">
        <f t="shared" si="16"/>
        <v>1</v>
      </c>
      <c r="H188" s="251">
        <f>4*D188*'[3]Base Costs'!$B$7</f>
        <v>30846.489008184613</v>
      </c>
      <c r="I188" s="252">
        <f>4*IF(E188&lt;=3,E188*'[3]Base Costs'!$B$8,IF(F188&lt;=3,F188*'[3]Base Costs'!$B$9,'[3]Base Costs'!$B$10*G188))</f>
        <v>4400</v>
      </c>
      <c r="J188" s="253">
        <f>C188*'[3]Base Costs'!$B$6</f>
        <v>39.422615062990033</v>
      </c>
      <c r="K188" s="250">
        <f t="shared" si="17"/>
        <v>5</v>
      </c>
      <c r="L188" s="250">
        <f t="shared" si="18"/>
        <v>1</v>
      </c>
      <c r="M188" s="250">
        <f t="shared" si="19"/>
        <v>1</v>
      </c>
      <c r="N188" s="251">
        <f>4*J188*'[3]Base Costs'!$B$7</f>
        <v>7835.0082080788925</v>
      </c>
      <c r="O188" s="252">
        <f>4*IF(K188&lt;=3,K188*'[3]Base Costs'!$B$8,IF(L188&lt;=3,L188*'[3]Base Costs'!$B$9,'[3]Base Costs'!$B$10*M188))</f>
        <v>1400</v>
      </c>
      <c r="P188" s="252">
        <f>4*C188*'[3]Base Costs'!$B$11</f>
        <v>31041.429183456716</v>
      </c>
      <c r="Q188">
        <f>'[3]Base Costs'!$B$13+'[3]Base Costs'!$B$14</f>
        <v>414</v>
      </c>
      <c r="R188" s="239">
        <f>'[3]Base Costs'!$D$2</f>
        <v>1105.3024868650327</v>
      </c>
      <c r="S188" s="254">
        <f t="shared" si="20"/>
        <v>10754.310694943924</v>
      </c>
    </row>
    <row r="189" spans="1:19" x14ac:dyDescent="0.25">
      <c r="A189" s="248" t="s">
        <v>988</v>
      </c>
      <c r="B189" s="248" t="s">
        <v>943</v>
      </c>
      <c r="C189" s="249">
        <v>89.021334053638213</v>
      </c>
      <c r="D189" s="250">
        <f>C189*'[3]Base Costs'!$B$5</f>
        <v>89.021334053638213</v>
      </c>
      <c r="E189" s="250">
        <f t="shared" si="14"/>
        <v>12</v>
      </c>
      <c r="F189" s="250">
        <f t="shared" si="15"/>
        <v>3</v>
      </c>
      <c r="G189" s="250">
        <f t="shared" si="16"/>
        <v>1</v>
      </c>
      <c r="H189" s="251">
        <f>4*D189*'[3]Base Costs'!$B$7</f>
        <v>17692.456015156276</v>
      </c>
      <c r="I189" s="252">
        <f>4*IF(E189&lt;=3,E189*'[3]Base Costs'!$B$8,IF(F189&lt;=3,F189*'[3]Base Costs'!$B$9,'[3]Base Costs'!$B$10*G189))</f>
        <v>4200</v>
      </c>
      <c r="J189" s="253">
        <f>C189*'[3]Base Costs'!$B$6</f>
        <v>22.611418849624105</v>
      </c>
      <c r="K189" s="250">
        <f t="shared" si="17"/>
        <v>3</v>
      </c>
      <c r="L189" s="250">
        <f t="shared" si="18"/>
        <v>1</v>
      </c>
      <c r="M189" s="250">
        <f t="shared" si="19"/>
        <v>1</v>
      </c>
      <c r="N189" s="251">
        <f>4*J189*'[3]Base Costs'!$B$7</f>
        <v>4493.8838278496942</v>
      </c>
      <c r="O189" s="252">
        <f>4*IF(K189&lt;=3,K189*'[3]Base Costs'!$B$8,IF(L189&lt;=3,L189*'[3]Base Costs'!$B$9,'[3]Base Costs'!$B$10*M189))</f>
        <v>1500</v>
      </c>
      <c r="P189" s="252">
        <f>4*C189*'[3]Base Costs'!$B$11</f>
        <v>17804.266810727644</v>
      </c>
      <c r="Q189">
        <f>'[3]Base Costs'!$B$13+'[3]Base Costs'!$B$14</f>
        <v>414</v>
      </c>
      <c r="R189" s="239">
        <f>'[3]Base Costs'!$D$2</f>
        <v>1105.3024868650327</v>
      </c>
      <c r="S189" s="254">
        <f t="shared" si="20"/>
        <v>7513.1863147147269</v>
      </c>
    </row>
    <row r="190" spans="1:19" x14ac:dyDescent="0.25">
      <c r="A190" s="248" t="s">
        <v>988</v>
      </c>
      <c r="B190" s="248" t="s">
        <v>944</v>
      </c>
      <c r="C190" s="249">
        <v>56.076779652284003</v>
      </c>
      <c r="D190" s="250">
        <f>C190*'[3]Base Costs'!$B$5</f>
        <v>56.076779652284003</v>
      </c>
      <c r="E190" s="250">
        <f t="shared" si="14"/>
        <v>8</v>
      </c>
      <c r="F190" s="250">
        <f t="shared" si="15"/>
        <v>2</v>
      </c>
      <c r="G190" s="250">
        <f t="shared" si="16"/>
        <v>1</v>
      </c>
      <c r="H190" s="251">
        <f>4*D190*'[3]Base Costs'!$B$7</f>
        <v>11144.923495213534</v>
      </c>
      <c r="I190" s="252">
        <f>4*IF(E190&lt;=3,E190*'[3]Base Costs'!$B$8,IF(F190&lt;=3,F190*'[3]Base Costs'!$B$9,'[3]Base Costs'!$B$10*G190))</f>
        <v>2800</v>
      </c>
      <c r="J190" s="253">
        <f>C190*'[3]Base Costs'!$B$6</f>
        <v>14.243502031680137</v>
      </c>
      <c r="K190" s="250">
        <f t="shared" si="17"/>
        <v>2</v>
      </c>
      <c r="L190" s="250">
        <f t="shared" si="18"/>
        <v>1</v>
      </c>
      <c r="M190" s="250">
        <f t="shared" si="19"/>
        <v>1</v>
      </c>
      <c r="N190" s="251">
        <f>4*J190*'[3]Base Costs'!$B$7</f>
        <v>2830.8105677842377</v>
      </c>
      <c r="O190" s="252">
        <f>4*IF(K190&lt;=3,K190*'[3]Base Costs'!$B$8,IF(L190&lt;=3,L190*'[3]Base Costs'!$B$9,'[3]Base Costs'!$B$10*M190))</f>
        <v>1000</v>
      </c>
      <c r="P190" s="252">
        <f>4*C190*'[3]Base Costs'!$B$11</f>
        <v>11215.355930456801</v>
      </c>
      <c r="Q190">
        <f>'[3]Base Costs'!$B$13+'[3]Base Costs'!$B$14</f>
        <v>414</v>
      </c>
      <c r="R190" s="239">
        <f>'[3]Base Costs'!$D$2</f>
        <v>1105.3024868650327</v>
      </c>
      <c r="S190" s="254">
        <f t="shared" si="20"/>
        <v>5350.1130546492705</v>
      </c>
    </row>
    <row r="191" spans="1:19" x14ac:dyDescent="0.25">
      <c r="A191" s="248" t="s">
        <v>988</v>
      </c>
      <c r="B191" s="248" t="s">
        <v>945</v>
      </c>
      <c r="C191" s="249">
        <v>172.02044384582197</v>
      </c>
      <c r="D191" s="250">
        <f>C191*'[3]Base Costs'!$B$5</f>
        <v>172.02044384582197</v>
      </c>
      <c r="E191" s="250">
        <f t="shared" si="14"/>
        <v>22</v>
      </c>
      <c r="F191" s="250">
        <f t="shared" si="15"/>
        <v>5</v>
      </c>
      <c r="G191" s="250">
        <f t="shared" si="16"/>
        <v>2</v>
      </c>
      <c r="H191" s="251">
        <f>4*D191*'[3]Base Costs'!$B$7</f>
        <v>34188.031091694043</v>
      </c>
      <c r="I191" s="252">
        <f>4*IF(E191&lt;=3,E191*'[3]Base Costs'!$B$8,IF(F191&lt;=3,F191*'[3]Base Costs'!$B$9,'[3]Base Costs'!$B$10*G191))</f>
        <v>8800</v>
      </c>
      <c r="J191" s="253">
        <f>C191*'[3]Base Costs'!$B$6</f>
        <v>43.693192736838782</v>
      </c>
      <c r="K191" s="250">
        <f t="shared" si="17"/>
        <v>6</v>
      </c>
      <c r="L191" s="250">
        <f t="shared" si="18"/>
        <v>2</v>
      </c>
      <c r="M191" s="250">
        <f t="shared" si="19"/>
        <v>1</v>
      </c>
      <c r="N191" s="251">
        <f>4*J191*'[3]Base Costs'!$B$7</f>
        <v>8683.7598972902888</v>
      </c>
      <c r="O191" s="252">
        <f>4*IF(K191&lt;=3,K191*'[3]Base Costs'!$B$8,IF(L191&lt;=3,L191*'[3]Base Costs'!$B$9,'[3]Base Costs'!$B$10*M191))</f>
        <v>2800</v>
      </c>
      <c r="P191" s="252">
        <f>4*C191*'[3]Base Costs'!$B$11</f>
        <v>34404.088769164395</v>
      </c>
      <c r="Q191">
        <f>'[3]Base Costs'!$B$13+'[3]Base Costs'!$B$14</f>
        <v>414</v>
      </c>
      <c r="R191" s="239">
        <f>'[3]Base Costs'!$D$2</f>
        <v>1105.3024868650327</v>
      </c>
      <c r="S191" s="254">
        <f t="shared" si="20"/>
        <v>13003.062384155321</v>
      </c>
    </row>
    <row r="192" spans="1:19" x14ac:dyDescent="0.25">
      <c r="A192" s="248" t="s">
        <v>988</v>
      </c>
      <c r="B192" s="248" t="s">
        <v>946</v>
      </c>
      <c r="C192" s="249">
        <v>239.99304784384373</v>
      </c>
      <c r="D192" s="250">
        <f>C192*'[3]Base Costs'!$B$5</f>
        <v>239.99304784384373</v>
      </c>
      <c r="E192" s="250">
        <f t="shared" si="14"/>
        <v>30</v>
      </c>
      <c r="F192" s="250">
        <f t="shared" si="15"/>
        <v>6</v>
      </c>
      <c r="G192" s="250">
        <f t="shared" si="16"/>
        <v>2</v>
      </c>
      <c r="H192" s="251">
        <f>4*D192*'[3]Base Costs'!$B$7</f>
        <v>47697.178300676882</v>
      </c>
      <c r="I192" s="252">
        <f>4*IF(E192&lt;=3,E192*'[3]Base Costs'!$B$8,IF(F192&lt;=3,F192*'[3]Base Costs'!$B$9,'[3]Base Costs'!$B$10*G192))</f>
        <v>8800</v>
      </c>
      <c r="J192" s="253">
        <f>C192*'[3]Base Costs'!$B$6</f>
        <v>60.95823415233631</v>
      </c>
      <c r="K192" s="250">
        <f t="shared" si="17"/>
        <v>8</v>
      </c>
      <c r="L192" s="250">
        <f t="shared" si="18"/>
        <v>2</v>
      </c>
      <c r="M192" s="250">
        <f t="shared" si="19"/>
        <v>1</v>
      </c>
      <c r="N192" s="251">
        <f>4*J192*'[3]Base Costs'!$B$7</f>
        <v>12115.083288371929</v>
      </c>
      <c r="O192" s="252">
        <f>4*IF(K192&lt;=3,K192*'[3]Base Costs'!$B$8,IF(L192&lt;=3,L192*'[3]Base Costs'!$B$9,'[3]Base Costs'!$B$10*M192))</f>
        <v>2800</v>
      </c>
      <c r="P192" s="252">
        <f>4*C192*'[3]Base Costs'!$B$11</f>
        <v>47998.609568768748</v>
      </c>
      <c r="Q192">
        <f>'[3]Base Costs'!$B$13+'[3]Base Costs'!$B$14</f>
        <v>414</v>
      </c>
      <c r="R192" s="239">
        <f>'[3]Base Costs'!$D$2</f>
        <v>1105.3024868650327</v>
      </c>
      <c r="S192" s="254">
        <f t="shared" si="20"/>
        <v>16434.385775236962</v>
      </c>
    </row>
    <row r="193" spans="1:19" x14ac:dyDescent="0.25">
      <c r="A193" s="248" t="s">
        <v>988</v>
      </c>
      <c r="B193" s="248" t="s">
        <v>947</v>
      </c>
      <c r="C193" s="249">
        <v>159.50000000000003</v>
      </c>
      <c r="D193" s="250">
        <f>C193*'[3]Base Costs'!$B$5</f>
        <v>159.50000000000003</v>
      </c>
      <c r="E193" s="250">
        <f t="shared" si="14"/>
        <v>20</v>
      </c>
      <c r="F193" s="250">
        <f t="shared" si="15"/>
        <v>4</v>
      </c>
      <c r="G193" s="250">
        <f t="shared" si="16"/>
        <v>1</v>
      </c>
      <c r="H193" s="251">
        <f>4*D193*'[3]Base Costs'!$B$7</f>
        <v>31699.668000000009</v>
      </c>
      <c r="I193" s="252">
        <f>4*IF(E193&lt;=3,E193*'[3]Base Costs'!$B$8,IF(F193&lt;=3,F193*'[3]Base Costs'!$B$9,'[3]Base Costs'!$B$10*G193))</f>
        <v>4400</v>
      </c>
      <c r="J193" s="253">
        <f>C193*'[3]Base Costs'!$B$6</f>
        <v>40.513000000000005</v>
      </c>
      <c r="K193" s="250">
        <f t="shared" si="17"/>
        <v>6</v>
      </c>
      <c r="L193" s="250">
        <f t="shared" si="18"/>
        <v>2</v>
      </c>
      <c r="M193" s="250">
        <f t="shared" si="19"/>
        <v>1</v>
      </c>
      <c r="N193" s="251">
        <f>4*J193*'[3]Base Costs'!$B$7</f>
        <v>8051.7156720000021</v>
      </c>
      <c r="O193" s="252">
        <f>4*IF(K193&lt;=3,K193*'[3]Base Costs'!$B$8,IF(L193&lt;=3,L193*'[3]Base Costs'!$B$9,'[3]Base Costs'!$B$10*M193))</f>
        <v>2800</v>
      </c>
      <c r="P193" s="252">
        <f>4*C193*'[3]Base Costs'!$B$11</f>
        <v>31900.000000000007</v>
      </c>
      <c r="Q193">
        <f>'[3]Base Costs'!$B$13+'[3]Base Costs'!$B$14</f>
        <v>414</v>
      </c>
      <c r="R193" s="239">
        <f>'[3]Base Costs'!$D$2</f>
        <v>1105.3024868650327</v>
      </c>
      <c r="S193" s="254">
        <f t="shared" si="20"/>
        <v>12371.018158865034</v>
      </c>
    </row>
    <row r="194" spans="1:19" x14ac:dyDescent="0.25">
      <c r="A194" s="248" t="s">
        <v>988</v>
      </c>
      <c r="B194" s="248" t="s">
        <v>948</v>
      </c>
      <c r="C194" s="249">
        <v>130.41190190040251</v>
      </c>
      <c r="D194" s="250">
        <f>C194*'[3]Base Costs'!$B$5</f>
        <v>130.41190190040251</v>
      </c>
      <c r="E194" s="250">
        <f t="shared" si="14"/>
        <v>17</v>
      </c>
      <c r="F194" s="250">
        <f t="shared" si="15"/>
        <v>4</v>
      </c>
      <c r="G194" s="250">
        <f t="shared" si="16"/>
        <v>1</v>
      </c>
      <c r="H194" s="251">
        <f>4*D194*'[3]Base Costs'!$B$7</f>
        <v>25918.583031293601</v>
      </c>
      <c r="I194" s="252">
        <f>4*IF(E194&lt;=3,E194*'[3]Base Costs'!$B$8,IF(F194&lt;=3,F194*'[3]Base Costs'!$B$9,'[3]Base Costs'!$B$10*G194))</f>
        <v>4400</v>
      </c>
      <c r="J194" s="253">
        <f>C194*'[3]Base Costs'!$B$6</f>
        <v>33.124623082702236</v>
      </c>
      <c r="K194" s="250">
        <f t="shared" si="17"/>
        <v>5</v>
      </c>
      <c r="L194" s="250">
        <f t="shared" si="18"/>
        <v>1</v>
      </c>
      <c r="M194" s="250">
        <f t="shared" si="19"/>
        <v>1</v>
      </c>
      <c r="N194" s="251">
        <f>4*J194*'[3]Base Costs'!$B$7</f>
        <v>6583.3200899485737</v>
      </c>
      <c r="O194" s="252">
        <f>4*IF(K194&lt;=3,K194*'[3]Base Costs'!$B$8,IF(L194&lt;=3,L194*'[3]Base Costs'!$B$9,'[3]Base Costs'!$B$10*M194))</f>
        <v>1400</v>
      </c>
      <c r="P194" s="252">
        <f>4*C194*'[3]Base Costs'!$B$11</f>
        <v>26082.380380080504</v>
      </c>
      <c r="Q194">
        <f>'[3]Base Costs'!$B$13+'[3]Base Costs'!$B$14</f>
        <v>414</v>
      </c>
      <c r="R194" s="239">
        <f>'[3]Base Costs'!$D$2</f>
        <v>1105.3024868650327</v>
      </c>
      <c r="S194" s="254">
        <f t="shared" si="20"/>
        <v>9502.6225768136064</v>
      </c>
    </row>
    <row r="195" spans="1:19" x14ac:dyDescent="0.25">
      <c r="A195" s="248" t="s">
        <v>988</v>
      </c>
      <c r="B195" s="248" t="s">
        <v>949</v>
      </c>
      <c r="C195" s="249">
        <v>255.00247580000001</v>
      </c>
      <c r="D195" s="250">
        <f>C195*'[3]Base Costs'!$B$5</f>
        <v>255.00247580000001</v>
      </c>
      <c r="E195" s="250">
        <f t="shared" si="14"/>
        <v>32</v>
      </c>
      <c r="F195" s="250">
        <f t="shared" si="15"/>
        <v>7</v>
      </c>
      <c r="G195" s="250">
        <f t="shared" si="16"/>
        <v>2</v>
      </c>
      <c r="H195" s="251">
        <f>4*D195*'[3]Base Costs'!$B$7</f>
        <v>50680.21205039521</v>
      </c>
      <c r="I195" s="252">
        <f>4*IF(E195&lt;=3,E195*'[3]Base Costs'!$B$8,IF(F195&lt;=3,F195*'[3]Base Costs'!$B$9,'[3]Base Costs'!$B$10*G195))</f>
        <v>8800</v>
      </c>
      <c r="J195" s="253">
        <f>C195*'[3]Base Costs'!$B$6</f>
        <v>64.770628853200009</v>
      </c>
      <c r="K195" s="250">
        <f t="shared" si="17"/>
        <v>9</v>
      </c>
      <c r="L195" s="250">
        <f t="shared" si="18"/>
        <v>2</v>
      </c>
      <c r="M195" s="250">
        <f t="shared" si="19"/>
        <v>1</v>
      </c>
      <c r="N195" s="251">
        <f>4*J195*'[3]Base Costs'!$B$7</f>
        <v>12872.773860800384</v>
      </c>
      <c r="O195" s="252">
        <f>4*IF(K195&lt;=3,K195*'[3]Base Costs'!$B$8,IF(L195&lt;=3,L195*'[3]Base Costs'!$B$9,'[3]Base Costs'!$B$10*M195))</f>
        <v>2800</v>
      </c>
      <c r="P195" s="252">
        <f>4*C195*'[3]Base Costs'!$B$11</f>
        <v>51000.495160000006</v>
      </c>
      <c r="Q195">
        <f>'[3]Base Costs'!$B$13+'[3]Base Costs'!$B$14</f>
        <v>414</v>
      </c>
      <c r="R195" s="239">
        <f>'[3]Base Costs'!$D$2</f>
        <v>1105.3024868650327</v>
      </c>
      <c r="S195" s="254">
        <f t="shared" si="20"/>
        <v>17192.076347665417</v>
      </c>
    </row>
    <row r="196" spans="1:19" x14ac:dyDescent="0.25">
      <c r="A196" s="248" t="s">
        <v>988</v>
      </c>
      <c r="B196" s="248" t="s">
        <v>996</v>
      </c>
      <c r="C196" s="249">
        <v>106.66666666666666</v>
      </c>
      <c r="D196" s="250">
        <f>C196*'[3]Base Costs'!$B$5</f>
        <v>106.66666666666666</v>
      </c>
      <c r="E196" s="250">
        <f t="shared" ref="E196:E259" si="21">ROUNDUP(D196/8,0)</f>
        <v>14</v>
      </c>
      <c r="F196" s="250">
        <f t="shared" ref="F196:F259" si="22">ROUNDUP(D196/40,0)</f>
        <v>3</v>
      </c>
      <c r="G196" s="250">
        <f t="shared" ref="G196:G259" si="23">ROUNDUP(D196/(40*4),0)</f>
        <v>1</v>
      </c>
      <c r="H196" s="251">
        <f>4*D196*'[3]Base Costs'!$B$7</f>
        <v>21199.360000000001</v>
      </c>
      <c r="I196" s="252">
        <f>4*IF(E196&lt;=3,E196*'[3]Base Costs'!$B$8,IF(F196&lt;=3,F196*'[3]Base Costs'!$B$9,'[3]Base Costs'!$B$10*G196))</f>
        <v>4200</v>
      </c>
      <c r="J196" s="253">
        <f>C196*'[3]Base Costs'!$B$6</f>
        <v>27.09333333333333</v>
      </c>
      <c r="K196" s="250">
        <f t="shared" ref="K196:K259" si="24">ROUNDUP(J196/8,0)</f>
        <v>4</v>
      </c>
      <c r="L196" s="250">
        <f t="shared" ref="L196:L259" si="25">ROUNDUP(J196/40,0)</f>
        <v>1</v>
      </c>
      <c r="M196" s="250">
        <f t="shared" ref="M196:M259" si="26">ROUNDUP(J196/(40*4),0)</f>
        <v>1</v>
      </c>
      <c r="N196" s="251">
        <f>4*J196*'[3]Base Costs'!$B$7</f>
        <v>5384.6374400000004</v>
      </c>
      <c r="O196" s="252">
        <f>4*IF(K196&lt;=3,K196*'[3]Base Costs'!$B$8,IF(L196&lt;=3,L196*'[3]Base Costs'!$B$9,'[3]Base Costs'!$B$10*M196))</f>
        <v>1400</v>
      </c>
      <c r="P196" s="252">
        <f>4*C196*'[3]Base Costs'!$B$11</f>
        <v>21333.333333333332</v>
      </c>
      <c r="Q196">
        <f>'[3]Base Costs'!$B$13+'[3]Base Costs'!$B$14</f>
        <v>414</v>
      </c>
      <c r="R196" s="239">
        <f>'[3]Base Costs'!$D$2</f>
        <v>1105.3024868650327</v>
      </c>
      <c r="S196" s="254">
        <f t="shared" ref="S196:S259" si="27">R196+Q196+N196+O196</f>
        <v>8303.9399268650341</v>
      </c>
    </row>
    <row r="197" spans="1:19" x14ac:dyDescent="0.25">
      <c r="A197" s="248" t="s">
        <v>988</v>
      </c>
      <c r="B197" s="248" t="s">
        <v>950</v>
      </c>
      <c r="C197" s="249">
        <v>50.200369170000002</v>
      </c>
      <c r="D197" s="250">
        <f>C197*'[3]Base Costs'!$B$5</f>
        <v>50.200369170000002</v>
      </c>
      <c r="E197" s="250">
        <f t="shared" si="21"/>
        <v>7</v>
      </c>
      <c r="F197" s="250">
        <f t="shared" si="22"/>
        <v>2</v>
      </c>
      <c r="G197" s="250">
        <f t="shared" si="23"/>
        <v>1</v>
      </c>
      <c r="H197" s="251">
        <f>4*D197*'[3]Base Costs'!$B$7</f>
        <v>9977.0221703224815</v>
      </c>
      <c r="I197" s="252">
        <f>4*IF(E197&lt;=3,E197*'[3]Base Costs'!$B$8,IF(F197&lt;=3,F197*'[3]Base Costs'!$B$9,'[3]Base Costs'!$B$10*G197))</f>
        <v>2800</v>
      </c>
      <c r="J197" s="253">
        <f>C197*'[3]Base Costs'!$B$6</f>
        <v>12.750893769180001</v>
      </c>
      <c r="K197" s="250">
        <f t="shared" si="24"/>
        <v>2</v>
      </c>
      <c r="L197" s="250">
        <f t="shared" si="25"/>
        <v>1</v>
      </c>
      <c r="M197" s="250">
        <f t="shared" si="26"/>
        <v>1</v>
      </c>
      <c r="N197" s="251">
        <f>4*J197*'[3]Base Costs'!$B$7</f>
        <v>2534.1636312619103</v>
      </c>
      <c r="O197" s="252">
        <f>4*IF(K197&lt;=3,K197*'[3]Base Costs'!$B$8,IF(L197&lt;=3,L197*'[3]Base Costs'!$B$9,'[3]Base Costs'!$B$10*M197))</f>
        <v>1000</v>
      </c>
      <c r="P197" s="252">
        <f>4*C197*'[3]Base Costs'!$B$11</f>
        <v>10040.073834000001</v>
      </c>
      <c r="Q197">
        <f>'[3]Base Costs'!$B$13+'[3]Base Costs'!$B$14</f>
        <v>414</v>
      </c>
      <c r="R197" s="239">
        <f>'[3]Base Costs'!$D$2</f>
        <v>1105.3024868650327</v>
      </c>
      <c r="S197" s="254">
        <f t="shared" si="27"/>
        <v>5053.466118126943</v>
      </c>
    </row>
    <row r="198" spans="1:19" x14ac:dyDescent="0.25">
      <c r="A198" s="248" t="s">
        <v>988</v>
      </c>
      <c r="B198" s="248" t="s">
        <v>951</v>
      </c>
      <c r="C198" s="249">
        <v>132.83112267411974</v>
      </c>
      <c r="D198" s="250">
        <f>C198*'[3]Base Costs'!$B$5</f>
        <v>132.83112267411974</v>
      </c>
      <c r="E198" s="250">
        <f t="shared" si="21"/>
        <v>17</v>
      </c>
      <c r="F198" s="250">
        <f t="shared" si="22"/>
        <v>4</v>
      </c>
      <c r="G198" s="250">
        <f t="shared" si="23"/>
        <v>1</v>
      </c>
      <c r="H198" s="251">
        <f>4*D198*'[3]Base Costs'!$B$7</f>
        <v>26399.388644745257</v>
      </c>
      <c r="I198" s="252">
        <f>4*IF(E198&lt;=3,E198*'[3]Base Costs'!$B$8,IF(F198&lt;=3,F198*'[3]Base Costs'!$B$9,'[3]Base Costs'!$B$10*G198))</f>
        <v>4400</v>
      </c>
      <c r="J198" s="253">
        <f>C198*'[3]Base Costs'!$B$6</f>
        <v>33.739105159226412</v>
      </c>
      <c r="K198" s="250">
        <f t="shared" si="24"/>
        <v>5</v>
      </c>
      <c r="L198" s="250">
        <f t="shared" si="25"/>
        <v>1</v>
      </c>
      <c r="M198" s="250">
        <f t="shared" si="26"/>
        <v>1</v>
      </c>
      <c r="N198" s="251">
        <f>4*J198*'[3]Base Costs'!$B$7</f>
        <v>6705.4447157652949</v>
      </c>
      <c r="O198" s="252">
        <f>4*IF(K198&lt;=3,K198*'[3]Base Costs'!$B$8,IF(L198&lt;=3,L198*'[3]Base Costs'!$B$9,'[3]Base Costs'!$B$10*M198))</f>
        <v>1400</v>
      </c>
      <c r="P198" s="252">
        <f>4*C198*'[3]Base Costs'!$B$11</f>
        <v>26566.224534823948</v>
      </c>
      <c r="Q198">
        <f>'[3]Base Costs'!$B$13+'[3]Base Costs'!$B$14</f>
        <v>414</v>
      </c>
      <c r="R198" s="239">
        <f>'[3]Base Costs'!$D$2</f>
        <v>1105.3024868650327</v>
      </c>
      <c r="S198" s="254">
        <f t="shared" si="27"/>
        <v>9624.7472026303276</v>
      </c>
    </row>
    <row r="199" spans="1:19" x14ac:dyDescent="0.25">
      <c r="A199" s="248" t="s">
        <v>988</v>
      </c>
      <c r="B199" s="248" t="s">
        <v>952</v>
      </c>
      <c r="C199" s="249">
        <v>297.00266554500001</v>
      </c>
      <c r="D199" s="250">
        <f>C199*'[3]Base Costs'!$B$5</f>
        <v>297.00266554500001</v>
      </c>
      <c r="E199" s="250">
        <f t="shared" si="21"/>
        <v>38</v>
      </c>
      <c r="F199" s="250">
        <f t="shared" si="22"/>
        <v>8</v>
      </c>
      <c r="G199" s="250">
        <f t="shared" si="23"/>
        <v>2</v>
      </c>
      <c r="H199" s="251">
        <f>4*D199*'[3]Base Costs'!$B$7</f>
        <v>59027.497761075494</v>
      </c>
      <c r="I199" s="252">
        <f>4*IF(E199&lt;=3,E199*'[3]Base Costs'!$B$8,IF(F199&lt;=3,F199*'[3]Base Costs'!$B$9,'[3]Base Costs'!$B$10*G199))</f>
        <v>8800</v>
      </c>
      <c r="J199" s="253">
        <f>C199*'[3]Base Costs'!$B$6</f>
        <v>75.438677048430009</v>
      </c>
      <c r="K199" s="250">
        <f t="shared" si="24"/>
        <v>10</v>
      </c>
      <c r="L199" s="250">
        <f t="shared" si="25"/>
        <v>2</v>
      </c>
      <c r="M199" s="250">
        <f t="shared" si="26"/>
        <v>1</v>
      </c>
      <c r="N199" s="251">
        <f>4*J199*'[3]Base Costs'!$B$7</f>
        <v>14992.984431313176</v>
      </c>
      <c r="O199" s="252">
        <f>4*IF(K199&lt;=3,K199*'[3]Base Costs'!$B$8,IF(L199&lt;=3,L199*'[3]Base Costs'!$B$9,'[3]Base Costs'!$B$10*M199))</f>
        <v>2800</v>
      </c>
      <c r="P199" s="252">
        <f>4*C199*'[3]Base Costs'!$B$11</f>
        <v>59400.533109000004</v>
      </c>
      <c r="Q199">
        <f>'[3]Base Costs'!$B$13+'[3]Base Costs'!$B$14</f>
        <v>414</v>
      </c>
      <c r="R199" s="239">
        <f>'[3]Base Costs'!$D$2</f>
        <v>1105.3024868650327</v>
      </c>
      <c r="S199" s="254">
        <f t="shared" si="27"/>
        <v>19312.286918178208</v>
      </c>
    </row>
    <row r="200" spans="1:19" x14ac:dyDescent="0.25">
      <c r="A200" s="248" t="s">
        <v>988</v>
      </c>
      <c r="B200" s="248" t="s">
        <v>953</v>
      </c>
      <c r="C200" s="249">
        <v>45.800000000000018</v>
      </c>
      <c r="D200" s="250">
        <f>C200*'[3]Base Costs'!$B$5</f>
        <v>45.800000000000018</v>
      </c>
      <c r="E200" s="250">
        <f t="shared" si="21"/>
        <v>6</v>
      </c>
      <c r="F200" s="250">
        <f t="shared" si="22"/>
        <v>2</v>
      </c>
      <c r="G200" s="250">
        <f t="shared" si="23"/>
        <v>1</v>
      </c>
      <c r="H200" s="251">
        <f>4*D200*'[3]Base Costs'!$B$7</f>
        <v>9102.4752000000044</v>
      </c>
      <c r="I200" s="252">
        <f>4*IF(E200&lt;=3,E200*'[3]Base Costs'!$B$8,IF(F200&lt;=3,F200*'[3]Base Costs'!$B$9,'[3]Base Costs'!$B$10*G200))</f>
        <v>2800</v>
      </c>
      <c r="J200" s="253">
        <f>C200*'[3]Base Costs'!$B$6</f>
        <v>11.633200000000004</v>
      </c>
      <c r="K200" s="250">
        <f t="shared" si="24"/>
        <v>2</v>
      </c>
      <c r="L200" s="250">
        <f t="shared" si="25"/>
        <v>1</v>
      </c>
      <c r="M200" s="250">
        <f t="shared" si="26"/>
        <v>1</v>
      </c>
      <c r="N200" s="251">
        <f>4*J200*'[3]Base Costs'!$B$7</f>
        <v>2312.0287008000009</v>
      </c>
      <c r="O200" s="252">
        <f>4*IF(K200&lt;=3,K200*'[3]Base Costs'!$B$8,IF(L200&lt;=3,L200*'[3]Base Costs'!$B$9,'[3]Base Costs'!$B$10*M200))</f>
        <v>1000</v>
      </c>
      <c r="P200" s="252">
        <f>4*C200*'[3]Base Costs'!$B$11</f>
        <v>9160.0000000000036</v>
      </c>
      <c r="Q200">
        <f>'[3]Base Costs'!$B$13+'[3]Base Costs'!$B$14</f>
        <v>414</v>
      </c>
      <c r="R200" s="239">
        <f>'[3]Base Costs'!$D$2</f>
        <v>1105.3024868650327</v>
      </c>
      <c r="S200" s="254">
        <f t="shared" si="27"/>
        <v>4831.3311876650332</v>
      </c>
    </row>
    <row r="201" spans="1:19" x14ac:dyDescent="0.25">
      <c r="A201" s="248" t="s">
        <v>988</v>
      </c>
      <c r="B201" s="248" t="s">
        <v>954</v>
      </c>
      <c r="C201" s="249">
        <v>49.714771159856973</v>
      </c>
      <c r="D201" s="250">
        <f>C201*'[3]Base Costs'!$B$5</f>
        <v>49.714771159856973</v>
      </c>
      <c r="E201" s="250">
        <f t="shared" si="21"/>
        <v>7</v>
      </c>
      <c r="F201" s="250">
        <f t="shared" si="22"/>
        <v>2</v>
      </c>
      <c r="G201" s="250">
        <f t="shared" si="23"/>
        <v>1</v>
      </c>
      <c r="H201" s="251">
        <f>4*D201*'[3]Base Costs'!$B$7</f>
        <v>9880.5124793946161</v>
      </c>
      <c r="I201" s="252">
        <f>4*IF(E201&lt;=3,E201*'[3]Base Costs'!$B$8,IF(F201&lt;=3,F201*'[3]Base Costs'!$B$9,'[3]Base Costs'!$B$10*G201))</f>
        <v>2800</v>
      </c>
      <c r="J201" s="253">
        <f>C201*'[3]Base Costs'!$B$6</f>
        <v>12.627551874603672</v>
      </c>
      <c r="K201" s="250">
        <f t="shared" si="24"/>
        <v>2</v>
      </c>
      <c r="L201" s="250">
        <f t="shared" si="25"/>
        <v>1</v>
      </c>
      <c r="M201" s="250">
        <f t="shared" si="26"/>
        <v>1</v>
      </c>
      <c r="N201" s="251">
        <f>4*J201*'[3]Base Costs'!$B$7</f>
        <v>2509.6501697662325</v>
      </c>
      <c r="O201" s="252">
        <f>4*IF(K201&lt;=3,K201*'[3]Base Costs'!$B$8,IF(L201&lt;=3,L201*'[3]Base Costs'!$B$9,'[3]Base Costs'!$B$10*M201))</f>
        <v>1000</v>
      </c>
      <c r="P201" s="252">
        <f>4*C201*'[3]Base Costs'!$B$11</f>
        <v>9942.9542319713946</v>
      </c>
      <c r="Q201">
        <f>'[3]Base Costs'!$B$13+'[3]Base Costs'!$B$14</f>
        <v>414</v>
      </c>
      <c r="R201" s="239">
        <f>'[3]Base Costs'!$D$2</f>
        <v>1105.3024868650327</v>
      </c>
      <c r="S201" s="254">
        <f t="shared" si="27"/>
        <v>5028.9526566312652</v>
      </c>
    </row>
    <row r="202" spans="1:19" x14ac:dyDescent="0.25">
      <c r="A202" s="248" t="s">
        <v>988</v>
      </c>
      <c r="B202" s="248" t="s">
        <v>955</v>
      </c>
      <c r="C202" s="249">
        <v>109.54609439000001</v>
      </c>
      <c r="D202" s="250">
        <f>C202*'[3]Base Costs'!$B$5</f>
        <v>109.54609439000001</v>
      </c>
      <c r="E202" s="250">
        <f t="shared" si="21"/>
        <v>14</v>
      </c>
      <c r="F202" s="250">
        <f t="shared" si="22"/>
        <v>3</v>
      </c>
      <c r="G202" s="250">
        <f t="shared" si="23"/>
        <v>1</v>
      </c>
      <c r="H202" s="251">
        <f>4*D202*'[3]Base Costs'!$B$7</f>
        <v>21771.628983446164</v>
      </c>
      <c r="I202" s="252">
        <f>4*IF(E202&lt;=3,E202*'[3]Base Costs'!$B$8,IF(F202&lt;=3,F202*'[3]Base Costs'!$B$9,'[3]Base Costs'!$B$10*G202))</f>
        <v>4200</v>
      </c>
      <c r="J202" s="253">
        <f>C202*'[3]Base Costs'!$B$6</f>
        <v>27.824707975060001</v>
      </c>
      <c r="K202" s="250">
        <f t="shared" si="24"/>
        <v>4</v>
      </c>
      <c r="L202" s="250">
        <f t="shared" si="25"/>
        <v>1</v>
      </c>
      <c r="M202" s="250">
        <f t="shared" si="26"/>
        <v>1</v>
      </c>
      <c r="N202" s="251">
        <f>4*J202*'[3]Base Costs'!$B$7</f>
        <v>5529.9937617953256</v>
      </c>
      <c r="O202" s="252">
        <f>4*IF(K202&lt;=3,K202*'[3]Base Costs'!$B$8,IF(L202&lt;=3,L202*'[3]Base Costs'!$B$9,'[3]Base Costs'!$B$10*M202))</f>
        <v>1400</v>
      </c>
      <c r="P202" s="252">
        <f>4*C202*'[3]Base Costs'!$B$11</f>
        <v>21909.218878</v>
      </c>
      <c r="Q202">
        <f>'[3]Base Costs'!$B$13+'[3]Base Costs'!$B$14</f>
        <v>414</v>
      </c>
      <c r="R202" s="239">
        <f>'[3]Base Costs'!$D$2</f>
        <v>1105.3024868650327</v>
      </c>
      <c r="S202" s="254">
        <f t="shared" si="27"/>
        <v>8449.2962486603574</v>
      </c>
    </row>
    <row r="203" spans="1:19" x14ac:dyDescent="0.25">
      <c r="A203" s="248" t="s">
        <v>988</v>
      </c>
      <c r="B203" s="248" t="s">
        <v>997</v>
      </c>
      <c r="C203" s="249">
        <v>53.301976924453463</v>
      </c>
      <c r="D203" s="250">
        <f>C203*'[3]Base Costs'!$B$5</f>
        <v>53.301976924453463</v>
      </c>
      <c r="E203" s="250">
        <f t="shared" si="21"/>
        <v>7</v>
      </c>
      <c r="F203" s="250">
        <f t="shared" si="22"/>
        <v>2</v>
      </c>
      <c r="G203" s="250">
        <f t="shared" si="23"/>
        <v>1</v>
      </c>
      <c r="H203" s="251">
        <f>4*D203*'[3]Base Costs'!$B$7</f>
        <v>10593.448101873581</v>
      </c>
      <c r="I203" s="252">
        <f>4*IF(E203&lt;=3,E203*'[3]Base Costs'!$B$8,IF(F203&lt;=3,F203*'[3]Base Costs'!$B$9,'[3]Base Costs'!$B$10*G203))</f>
        <v>2800</v>
      </c>
      <c r="J203" s="253">
        <f>C203*'[3]Base Costs'!$B$6</f>
        <v>13.53870213881118</v>
      </c>
      <c r="K203" s="250">
        <f t="shared" si="24"/>
        <v>2</v>
      </c>
      <c r="L203" s="250">
        <f t="shared" si="25"/>
        <v>1</v>
      </c>
      <c r="M203" s="250">
        <f t="shared" si="26"/>
        <v>1</v>
      </c>
      <c r="N203" s="251">
        <f>4*J203*'[3]Base Costs'!$B$7</f>
        <v>2690.7358178758896</v>
      </c>
      <c r="O203" s="252">
        <f>4*IF(K203&lt;=3,K203*'[3]Base Costs'!$B$8,IF(L203&lt;=3,L203*'[3]Base Costs'!$B$9,'[3]Base Costs'!$B$10*M203))</f>
        <v>1000</v>
      </c>
      <c r="P203" s="252">
        <f>4*C203*'[3]Base Costs'!$B$11</f>
        <v>10660.395384890693</v>
      </c>
      <c r="Q203">
        <f>'[3]Base Costs'!$B$13+'[3]Base Costs'!$B$14</f>
        <v>414</v>
      </c>
      <c r="R203" s="239">
        <f>'[3]Base Costs'!$D$2</f>
        <v>1105.3024868650327</v>
      </c>
      <c r="S203" s="254">
        <f t="shared" si="27"/>
        <v>5210.0383047409223</v>
      </c>
    </row>
    <row r="204" spans="1:19" x14ac:dyDescent="0.25">
      <c r="A204" s="248" t="s">
        <v>988</v>
      </c>
      <c r="B204" s="248" t="s">
        <v>956</v>
      </c>
      <c r="C204" s="249">
        <v>26.985074626865668</v>
      </c>
      <c r="D204" s="250">
        <f>C204*'[3]Base Costs'!$B$5</f>
        <v>26.985074626865668</v>
      </c>
      <c r="E204" s="250">
        <f t="shared" si="21"/>
        <v>4</v>
      </c>
      <c r="F204" s="250">
        <f t="shared" si="22"/>
        <v>1</v>
      </c>
      <c r="G204" s="250">
        <f t="shared" si="23"/>
        <v>1</v>
      </c>
      <c r="H204" s="251">
        <f>4*D204*'[3]Base Costs'!$B$7</f>
        <v>5363.1216716417912</v>
      </c>
      <c r="I204" s="252">
        <f>4*IF(E204&lt;=3,E204*'[3]Base Costs'!$B$8,IF(F204&lt;=3,F204*'[3]Base Costs'!$B$9,'[3]Base Costs'!$B$10*G204))</f>
        <v>1400</v>
      </c>
      <c r="J204" s="253">
        <f>C204*'[3]Base Costs'!$B$6</f>
        <v>6.8542089552238794</v>
      </c>
      <c r="K204" s="250">
        <f t="shared" si="24"/>
        <v>1</v>
      </c>
      <c r="L204" s="250">
        <f t="shared" si="25"/>
        <v>1</v>
      </c>
      <c r="M204" s="250">
        <f t="shared" si="26"/>
        <v>1</v>
      </c>
      <c r="N204" s="251">
        <f>4*J204*'[3]Base Costs'!$B$7</f>
        <v>1362.2329045970148</v>
      </c>
      <c r="O204" s="252">
        <f>4*IF(K204&lt;=3,K204*'[3]Base Costs'!$B$8,IF(L204&lt;=3,L204*'[3]Base Costs'!$B$9,'[3]Base Costs'!$B$10*M204))</f>
        <v>500</v>
      </c>
      <c r="P204" s="252">
        <f>4*C204*'[3]Base Costs'!$B$11</f>
        <v>5397.0149253731333</v>
      </c>
      <c r="Q204">
        <f>'[3]Base Costs'!$B$13+'[3]Base Costs'!$B$14</f>
        <v>414</v>
      </c>
      <c r="R204" s="239">
        <f>'[3]Base Costs'!$D$2</f>
        <v>1105.3024868650327</v>
      </c>
      <c r="S204" s="254">
        <f t="shared" si="27"/>
        <v>3381.5353914620473</v>
      </c>
    </row>
    <row r="205" spans="1:19" x14ac:dyDescent="0.25">
      <c r="A205" s="248" t="s">
        <v>988</v>
      </c>
      <c r="B205" s="248" t="s">
        <v>957</v>
      </c>
      <c r="C205" s="249">
        <v>119.81325738502382</v>
      </c>
      <c r="D205" s="250">
        <f>C205*'[3]Base Costs'!$B$5</f>
        <v>119.81325738502382</v>
      </c>
      <c r="E205" s="250">
        <f t="shared" si="21"/>
        <v>15</v>
      </c>
      <c r="F205" s="250">
        <f t="shared" si="22"/>
        <v>3</v>
      </c>
      <c r="G205" s="250">
        <f t="shared" si="23"/>
        <v>1</v>
      </c>
      <c r="H205" s="251">
        <f>4*D205*'[3]Base Costs'!$B$7</f>
        <v>23812.166025729177</v>
      </c>
      <c r="I205" s="252">
        <f>4*IF(E205&lt;=3,E205*'[3]Base Costs'!$B$8,IF(F205&lt;=3,F205*'[3]Base Costs'!$B$9,'[3]Base Costs'!$B$10*G205))</f>
        <v>4200</v>
      </c>
      <c r="J205" s="253">
        <f>C205*'[3]Base Costs'!$B$6</f>
        <v>30.432567375796051</v>
      </c>
      <c r="K205" s="250">
        <f t="shared" si="24"/>
        <v>4</v>
      </c>
      <c r="L205" s="250">
        <f t="shared" si="25"/>
        <v>1</v>
      </c>
      <c r="M205" s="250">
        <f t="shared" si="26"/>
        <v>1</v>
      </c>
      <c r="N205" s="251">
        <f>4*J205*'[3]Base Costs'!$B$7</f>
        <v>6048.2901705352115</v>
      </c>
      <c r="O205" s="252">
        <f>4*IF(K205&lt;=3,K205*'[3]Base Costs'!$B$8,IF(L205&lt;=3,L205*'[3]Base Costs'!$B$9,'[3]Base Costs'!$B$10*M205))</f>
        <v>1400</v>
      </c>
      <c r="P205" s="252">
        <f>4*C205*'[3]Base Costs'!$B$11</f>
        <v>23962.651477004765</v>
      </c>
      <c r="Q205">
        <f>'[3]Base Costs'!$B$13+'[3]Base Costs'!$B$14</f>
        <v>414</v>
      </c>
      <c r="R205" s="239">
        <f>'[3]Base Costs'!$D$2</f>
        <v>1105.3024868650327</v>
      </c>
      <c r="S205" s="254">
        <f t="shared" si="27"/>
        <v>8967.5926574002442</v>
      </c>
    </row>
    <row r="206" spans="1:19" x14ac:dyDescent="0.25">
      <c r="A206" s="248" t="s">
        <v>988</v>
      </c>
      <c r="B206" s="248" t="s">
        <v>958</v>
      </c>
      <c r="C206" s="249">
        <v>202.8781516606937</v>
      </c>
      <c r="D206" s="250">
        <f>C206*'[3]Base Costs'!$B$5</f>
        <v>202.8781516606937</v>
      </c>
      <c r="E206" s="250">
        <f t="shared" si="21"/>
        <v>26</v>
      </c>
      <c r="F206" s="250">
        <f t="shared" si="22"/>
        <v>6</v>
      </c>
      <c r="G206" s="250">
        <f t="shared" si="23"/>
        <v>2</v>
      </c>
      <c r="H206" s="251">
        <f>4*D206*'[3]Base Costs'!$B$7</f>
        <v>40320.815373652913</v>
      </c>
      <c r="I206" s="252">
        <f>4*IF(E206&lt;=3,E206*'[3]Base Costs'!$B$8,IF(F206&lt;=3,F206*'[3]Base Costs'!$B$9,'[3]Base Costs'!$B$10*G206))</f>
        <v>8800</v>
      </c>
      <c r="J206" s="253">
        <f>C206*'[3]Base Costs'!$B$6</f>
        <v>51.531050521816198</v>
      </c>
      <c r="K206" s="250">
        <f t="shared" si="24"/>
        <v>7</v>
      </c>
      <c r="L206" s="250">
        <f t="shared" si="25"/>
        <v>2</v>
      </c>
      <c r="M206" s="250">
        <f t="shared" si="26"/>
        <v>1</v>
      </c>
      <c r="N206" s="251">
        <f>4*J206*'[3]Base Costs'!$B$7</f>
        <v>10241.487104907839</v>
      </c>
      <c r="O206" s="252">
        <f>4*IF(K206&lt;=3,K206*'[3]Base Costs'!$B$8,IF(L206&lt;=3,L206*'[3]Base Costs'!$B$9,'[3]Base Costs'!$B$10*M206))</f>
        <v>2800</v>
      </c>
      <c r="P206" s="252">
        <f>4*C206*'[3]Base Costs'!$B$11</f>
        <v>40575.630332138739</v>
      </c>
      <c r="Q206">
        <f>'[3]Base Costs'!$B$13+'[3]Base Costs'!$B$14</f>
        <v>414</v>
      </c>
      <c r="R206" s="239">
        <f>'[3]Base Costs'!$D$2</f>
        <v>1105.3024868650327</v>
      </c>
      <c r="S206" s="254">
        <f t="shared" si="27"/>
        <v>14560.789591772871</v>
      </c>
    </row>
    <row r="207" spans="1:19" x14ac:dyDescent="0.25">
      <c r="A207" s="248" t="s">
        <v>988</v>
      </c>
      <c r="B207" s="248" t="s">
        <v>959</v>
      </c>
      <c r="C207" s="249">
        <v>89.019733196824646</v>
      </c>
      <c r="D207" s="250">
        <f>C207*'[3]Base Costs'!$B$5</f>
        <v>89.019733196824646</v>
      </c>
      <c r="E207" s="250">
        <f t="shared" si="21"/>
        <v>12</v>
      </c>
      <c r="F207" s="250">
        <f t="shared" si="22"/>
        <v>3</v>
      </c>
      <c r="G207" s="250">
        <f t="shared" si="23"/>
        <v>1</v>
      </c>
      <c r="H207" s="251">
        <f>4*D207*'[3]Base Costs'!$B$7</f>
        <v>17692.137854469718</v>
      </c>
      <c r="I207" s="252">
        <f>4*IF(E207&lt;=3,E207*'[3]Base Costs'!$B$8,IF(F207&lt;=3,F207*'[3]Base Costs'!$B$9,'[3]Base Costs'!$B$10*G207))</f>
        <v>4200</v>
      </c>
      <c r="J207" s="253">
        <f>C207*'[3]Base Costs'!$B$6</f>
        <v>22.61101223199346</v>
      </c>
      <c r="K207" s="250">
        <f t="shared" si="24"/>
        <v>3</v>
      </c>
      <c r="L207" s="250">
        <f t="shared" si="25"/>
        <v>1</v>
      </c>
      <c r="M207" s="250">
        <f t="shared" si="26"/>
        <v>1</v>
      </c>
      <c r="N207" s="251">
        <f>4*J207*'[3]Base Costs'!$B$7</f>
        <v>4493.8030150353088</v>
      </c>
      <c r="O207" s="252">
        <f>4*IF(K207&lt;=3,K207*'[3]Base Costs'!$B$8,IF(L207&lt;=3,L207*'[3]Base Costs'!$B$9,'[3]Base Costs'!$B$10*M207))</f>
        <v>1500</v>
      </c>
      <c r="P207" s="252">
        <f>4*C207*'[3]Base Costs'!$B$11</f>
        <v>17803.946639364931</v>
      </c>
      <c r="Q207">
        <f>'[3]Base Costs'!$B$13+'[3]Base Costs'!$B$14</f>
        <v>414</v>
      </c>
      <c r="R207" s="239">
        <f>'[3]Base Costs'!$D$2</f>
        <v>1105.3024868650327</v>
      </c>
      <c r="S207" s="254">
        <f t="shared" si="27"/>
        <v>7513.1055019003416</v>
      </c>
    </row>
    <row r="208" spans="1:19" x14ac:dyDescent="0.25">
      <c r="A208" s="248" t="s">
        <v>988</v>
      </c>
      <c r="B208" s="248" t="s">
        <v>960</v>
      </c>
      <c r="C208" s="249">
        <v>113.65265503676936</v>
      </c>
      <c r="D208" s="250">
        <f>C208*'[3]Base Costs'!$B$5</f>
        <v>113.65265503676936</v>
      </c>
      <c r="E208" s="250">
        <f t="shared" si="21"/>
        <v>15</v>
      </c>
      <c r="F208" s="250">
        <f t="shared" si="22"/>
        <v>3</v>
      </c>
      <c r="G208" s="250">
        <f t="shared" si="23"/>
        <v>1</v>
      </c>
      <c r="H208" s="251">
        <f>4*D208*'[3]Base Costs'!$B$7</f>
        <v>22587.783272627694</v>
      </c>
      <c r="I208" s="252">
        <f>4*IF(E208&lt;=3,E208*'[3]Base Costs'!$B$8,IF(F208&lt;=3,F208*'[3]Base Costs'!$B$9,'[3]Base Costs'!$B$10*G208))</f>
        <v>4200</v>
      </c>
      <c r="J208" s="253">
        <f>C208*'[3]Base Costs'!$B$6</f>
        <v>28.867774379339419</v>
      </c>
      <c r="K208" s="250">
        <f t="shared" si="24"/>
        <v>4</v>
      </c>
      <c r="L208" s="250">
        <f t="shared" si="25"/>
        <v>1</v>
      </c>
      <c r="M208" s="250">
        <f t="shared" si="26"/>
        <v>1</v>
      </c>
      <c r="N208" s="251">
        <f>4*J208*'[3]Base Costs'!$B$7</f>
        <v>5737.2969512474347</v>
      </c>
      <c r="O208" s="252">
        <f>4*IF(K208&lt;=3,K208*'[3]Base Costs'!$B$8,IF(L208&lt;=3,L208*'[3]Base Costs'!$B$9,'[3]Base Costs'!$B$10*M208))</f>
        <v>1400</v>
      </c>
      <c r="P208" s="252">
        <f>4*C208*'[3]Base Costs'!$B$11</f>
        <v>22730.531007353871</v>
      </c>
      <c r="Q208">
        <f>'[3]Base Costs'!$B$13+'[3]Base Costs'!$B$14</f>
        <v>414</v>
      </c>
      <c r="R208" s="239">
        <f>'[3]Base Costs'!$D$2</f>
        <v>1105.3024868650327</v>
      </c>
      <c r="S208" s="254">
        <f t="shared" si="27"/>
        <v>8656.5994381124674</v>
      </c>
    </row>
    <row r="209" spans="1:19" x14ac:dyDescent="0.25">
      <c r="A209" s="248" t="s">
        <v>988</v>
      </c>
      <c r="B209" s="248" t="s">
        <v>961</v>
      </c>
      <c r="C209" s="249">
        <v>199.61294302262849</v>
      </c>
      <c r="D209" s="250">
        <f>C209*'[3]Base Costs'!$B$5</f>
        <v>199.61294302262849</v>
      </c>
      <c r="E209" s="250">
        <f t="shared" si="21"/>
        <v>25</v>
      </c>
      <c r="F209" s="250">
        <f t="shared" si="22"/>
        <v>5</v>
      </c>
      <c r="G209" s="250">
        <f t="shared" si="23"/>
        <v>2</v>
      </c>
      <c r="H209" s="251">
        <f>4*D209*'[3]Base Costs'!$B$7</f>
        <v>39671.874748089278</v>
      </c>
      <c r="I209" s="252">
        <f>4*IF(E209&lt;=3,E209*'[3]Base Costs'!$B$8,IF(F209&lt;=3,F209*'[3]Base Costs'!$B$9,'[3]Base Costs'!$B$10*G209))</f>
        <v>8800</v>
      </c>
      <c r="J209" s="253">
        <f>C209*'[3]Base Costs'!$B$6</f>
        <v>50.701687527747637</v>
      </c>
      <c r="K209" s="250">
        <f t="shared" si="24"/>
        <v>7</v>
      </c>
      <c r="L209" s="250">
        <f t="shared" si="25"/>
        <v>2</v>
      </c>
      <c r="M209" s="250">
        <f t="shared" si="26"/>
        <v>1</v>
      </c>
      <c r="N209" s="251">
        <f>4*J209*'[3]Base Costs'!$B$7</f>
        <v>10076.656186014678</v>
      </c>
      <c r="O209" s="252">
        <f>4*IF(K209&lt;=3,K209*'[3]Base Costs'!$B$8,IF(L209&lt;=3,L209*'[3]Base Costs'!$B$9,'[3]Base Costs'!$B$10*M209))</f>
        <v>2800</v>
      </c>
      <c r="P209" s="252">
        <f>4*C209*'[3]Base Costs'!$B$11</f>
        <v>39922.588604525699</v>
      </c>
      <c r="Q209">
        <f>'[3]Base Costs'!$B$13+'[3]Base Costs'!$B$14</f>
        <v>414</v>
      </c>
      <c r="R209" s="239">
        <f>'[3]Base Costs'!$D$2</f>
        <v>1105.3024868650327</v>
      </c>
      <c r="S209" s="254">
        <f t="shared" si="27"/>
        <v>14395.958672879711</v>
      </c>
    </row>
    <row r="210" spans="1:19" x14ac:dyDescent="0.25">
      <c r="A210" s="248" t="s">
        <v>988</v>
      </c>
      <c r="B210" s="248" t="s">
        <v>962</v>
      </c>
      <c r="C210" s="249">
        <v>181.30770959396034</v>
      </c>
      <c r="D210" s="250">
        <f>C210*'[3]Base Costs'!$B$5</f>
        <v>181.30770959396034</v>
      </c>
      <c r="E210" s="250">
        <f t="shared" si="21"/>
        <v>23</v>
      </c>
      <c r="F210" s="250">
        <f t="shared" si="22"/>
        <v>5</v>
      </c>
      <c r="G210" s="250">
        <f t="shared" si="23"/>
        <v>2</v>
      </c>
      <c r="H210" s="251">
        <f>4*D210*'[3]Base Costs'!$B$7</f>
        <v>36033.819435542056</v>
      </c>
      <c r="I210" s="252">
        <f>4*IF(E210&lt;=3,E210*'[3]Base Costs'!$B$8,IF(F210&lt;=3,F210*'[3]Base Costs'!$B$9,'[3]Base Costs'!$B$10*G210))</f>
        <v>8800</v>
      </c>
      <c r="J210" s="253">
        <f>C210*'[3]Base Costs'!$B$6</f>
        <v>46.052158236865928</v>
      </c>
      <c r="K210" s="250">
        <f t="shared" si="24"/>
        <v>6</v>
      </c>
      <c r="L210" s="250">
        <f t="shared" si="25"/>
        <v>2</v>
      </c>
      <c r="M210" s="250">
        <f t="shared" si="26"/>
        <v>1</v>
      </c>
      <c r="N210" s="251">
        <f>4*J210*'[3]Base Costs'!$B$7</f>
        <v>9152.590136627683</v>
      </c>
      <c r="O210" s="252">
        <f>4*IF(K210&lt;=3,K210*'[3]Base Costs'!$B$8,IF(L210&lt;=3,L210*'[3]Base Costs'!$B$9,'[3]Base Costs'!$B$10*M210))</f>
        <v>2800</v>
      </c>
      <c r="P210" s="252">
        <f>4*C210*'[3]Base Costs'!$B$11</f>
        <v>36261.541918792071</v>
      </c>
      <c r="Q210">
        <f>'[3]Base Costs'!$B$13+'[3]Base Costs'!$B$14</f>
        <v>414</v>
      </c>
      <c r="R210" s="239">
        <f>'[3]Base Costs'!$D$2</f>
        <v>1105.3024868650327</v>
      </c>
      <c r="S210" s="254">
        <f t="shared" si="27"/>
        <v>13471.892623492717</v>
      </c>
    </row>
    <row r="211" spans="1:19" x14ac:dyDescent="0.25">
      <c r="A211" s="248" t="s">
        <v>988</v>
      </c>
      <c r="B211" s="248" t="s">
        <v>963</v>
      </c>
      <c r="C211" s="249">
        <v>105.08594276661904</v>
      </c>
      <c r="D211" s="250">
        <f>C211*'[3]Base Costs'!$B$5</f>
        <v>105.08594276661904</v>
      </c>
      <c r="E211" s="250">
        <f t="shared" si="21"/>
        <v>14</v>
      </c>
      <c r="F211" s="250">
        <f t="shared" si="22"/>
        <v>3</v>
      </c>
      <c r="G211" s="250">
        <f t="shared" si="23"/>
        <v>1</v>
      </c>
      <c r="H211" s="251">
        <f>4*D211*'[3]Base Costs'!$B$7</f>
        <v>20885.200609208936</v>
      </c>
      <c r="I211" s="252">
        <f>4*IF(E211&lt;=3,E211*'[3]Base Costs'!$B$8,IF(F211&lt;=3,F211*'[3]Base Costs'!$B$9,'[3]Base Costs'!$B$10*G211))</f>
        <v>4200</v>
      </c>
      <c r="J211" s="253">
        <f>C211*'[3]Base Costs'!$B$6</f>
        <v>26.691829462721238</v>
      </c>
      <c r="K211" s="250">
        <f t="shared" si="24"/>
        <v>4</v>
      </c>
      <c r="L211" s="250">
        <f t="shared" si="25"/>
        <v>1</v>
      </c>
      <c r="M211" s="250">
        <f t="shared" si="26"/>
        <v>1</v>
      </c>
      <c r="N211" s="251">
        <f>4*J211*'[3]Base Costs'!$B$7</f>
        <v>5304.8409547390702</v>
      </c>
      <c r="O211" s="252">
        <f>4*IF(K211&lt;=3,K211*'[3]Base Costs'!$B$8,IF(L211&lt;=3,L211*'[3]Base Costs'!$B$9,'[3]Base Costs'!$B$10*M211))</f>
        <v>1400</v>
      </c>
      <c r="P211" s="252">
        <f>4*C211*'[3]Base Costs'!$B$11</f>
        <v>21017.188553323809</v>
      </c>
      <c r="Q211">
        <f>'[3]Base Costs'!$B$13+'[3]Base Costs'!$B$14</f>
        <v>414</v>
      </c>
      <c r="R211" s="239">
        <f>'[3]Base Costs'!$D$2</f>
        <v>1105.3024868650327</v>
      </c>
      <c r="S211" s="254">
        <f t="shared" si="27"/>
        <v>8224.1434416041029</v>
      </c>
    </row>
    <row r="212" spans="1:19" x14ac:dyDescent="0.25">
      <c r="A212" s="248" t="s">
        <v>988</v>
      </c>
      <c r="B212" s="248" t="s">
        <v>964</v>
      </c>
      <c r="C212" s="249">
        <v>4.9230769230769234</v>
      </c>
      <c r="D212" s="250">
        <f>C212*'[3]Base Costs'!$B$5</f>
        <v>4.9230769230769234</v>
      </c>
      <c r="E212" s="250">
        <f t="shared" si="21"/>
        <v>1</v>
      </c>
      <c r="F212" s="250">
        <f t="shared" si="22"/>
        <v>1</v>
      </c>
      <c r="G212" s="250">
        <f t="shared" si="23"/>
        <v>1</v>
      </c>
      <c r="H212" s="251">
        <f>4*D212*'[3]Base Costs'!$B$7</f>
        <v>978.43200000000024</v>
      </c>
      <c r="I212" s="252">
        <f>4*IF(E212&lt;=3,E212*'[3]Base Costs'!$B$8,IF(F212&lt;=3,F212*'[3]Base Costs'!$B$9,'[3]Base Costs'!$B$10*G212))</f>
        <v>500</v>
      </c>
      <c r="J212" s="253">
        <f>C212*'[3]Base Costs'!$B$6</f>
        <v>1.2504615384615385</v>
      </c>
      <c r="K212" s="250">
        <f t="shared" si="24"/>
        <v>1</v>
      </c>
      <c r="L212" s="250">
        <f t="shared" si="25"/>
        <v>1</v>
      </c>
      <c r="M212" s="250">
        <f t="shared" si="26"/>
        <v>1</v>
      </c>
      <c r="N212" s="251">
        <f>4*J212*'[3]Base Costs'!$B$7</f>
        <v>248.52172800000005</v>
      </c>
      <c r="O212" s="252">
        <f>4*IF(K212&lt;=3,K212*'[3]Base Costs'!$B$8,IF(L212&lt;=3,L212*'[3]Base Costs'!$B$9,'[3]Base Costs'!$B$10*M212))</f>
        <v>500</v>
      </c>
      <c r="P212" s="252">
        <f>4*C212*'[3]Base Costs'!$B$11</f>
        <v>984.61538461538464</v>
      </c>
      <c r="Q212">
        <f>'[3]Base Costs'!$B$13+'[3]Base Costs'!$B$14</f>
        <v>414</v>
      </c>
      <c r="R212" s="239">
        <f>'[3]Base Costs'!$D$2</f>
        <v>1105.3024868650327</v>
      </c>
      <c r="S212" s="254">
        <f t="shared" si="27"/>
        <v>2267.8242148650329</v>
      </c>
    </row>
    <row r="213" spans="1:19" x14ac:dyDescent="0.25">
      <c r="A213" s="248" t="s">
        <v>988</v>
      </c>
      <c r="B213" s="248" t="s">
        <v>998</v>
      </c>
      <c r="C213" s="249">
        <v>106.60473222156224</v>
      </c>
      <c r="D213" s="250">
        <f>C213*'[3]Base Costs'!$B$5</f>
        <v>106.60473222156224</v>
      </c>
      <c r="E213" s="250">
        <f t="shared" si="21"/>
        <v>14</v>
      </c>
      <c r="F213" s="250">
        <f t="shared" si="22"/>
        <v>3</v>
      </c>
      <c r="G213" s="250">
        <f t="shared" si="23"/>
        <v>1</v>
      </c>
      <c r="H213" s="251">
        <f>4*D213*'[3]Base Costs'!$B$7</f>
        <v>21187.050900642171</v>
      </c>
      <c r="I213" s="252">
        <f>4*IF(E213&lt;=3,E213*'[3]Base Costs'!$B$8,IF(F213&lt;=3,F213*'[3]Base Costs'!$B$9,'[3]Base Costs'!$B$10*G213))</f>
        <v>4200</v>
      </c>
      <c r="J213" s="253">
        <f>C213*'[3]Base Costs'!$B$6</f>
        <v>27.077601984276811</v>
      </c>
      <c r="K213" s="250">
        <f t="shared" si="24"/>
        <v>4</v>
      </c>
      <c r="L213" s="250">
        <f t="shared" si="25"/>
        <v>1</v>
      </c>
      <c r="M213" s="250">
        <f t="shared" si="26"/>
        <v>1</v>
      </c>
      <c r="N213" s="251">
        <f>4*J213*'[3]Base Costs'!$B$7</f>
        <v>5381.5109287631112</v>
      </c>
      <c r="O213" s="252">
        <f>4*IF(K213&lt;=3,K213*'[3]Base Costs'!$B$8,IF(L213&lt;=3,L213*'[3]Base Costs'!$B$9,'[3]Base Costs'!$B$10*M213))</f>
        <v>1400</v>
      </c>
      <c r="P213" s="252">
        <f>4*C213*'[3]Base Costs'!$B$11</f>
        <v>21320.946444312449</v>
      </c>
      <c r="Q213">
        <f>'[3]Base Costs'!$B$13+'[3]Base Costs'!$B$14</f>
        <v>414</v>
      </c>
      <c r="R213" s="239">
        <f>'[3]Base Costs'!$D$2</f>
        <v>1105.3024868650327</v>
      </c>
      <c r="S213" s="254">
        <f t="shared" si="27"/>
        <v>8300.8134156281449</v>
      </c>
    </row>
    <row r="214" spans="1:19" x14ac:dyDescent="0.25">
      <c r="A214" s="248" t="s">
        <v>988</v>
      </c>
      <c r="B214" s="248" t="s">
        <v>999</v>
      </c>
      <c r="C214" s="249">
        <v>144.99973137000001</v>
      </c>
      <c r="D214" s="250">
        <f>C214*'[3]Base Costs'!$B$5</f>
        <v>144.99973137000001</v>
      </c>
      <c r="E214" s="250">
        <f t="shared" si="21"/>
        <v>19</v>
      </c>
      <c r="F214" s="250">
        <f t="shared" si="22"/>
        <v>4</v>
      </c>
      <c r="G214" s="250">
        <f t="shared" si="23"/>
        <v>1</v>
      </c>
      <c r="H214" s="251">
        <f>4*D214*'[3]Base Costs'!$B$7</f>
        <v>28817.826611399287</v>
      </c>
      <c r="I214" s="252">
        <f>4*IF(E214&lt;=3,E214*'[3]Base Costs'!$B$8,IF(F214&lt;=3,F214*'[3]Base Costs'!$B$9,'[3]Base Costs'!$B$10*G214))</f>
        <v>4400</v>
      </c>
      <c r="J214" s="253">
        <f>C214*'[3]Base Costs'!$B$6</f>
        <v>36.82993176798</v>
      </c>
      <c r="K214" s="250">
        <f t="shared" si="24"/>
        <v>5</v>
      </c>
      <c r="L214" s="250">
        <f t="shared" si="25"/>
        <v>1</v>
      </c>
      <c r="M214" s="250">
        <f t="shared" si="26"/>
        <v>1</v>
      </c>
      <c r="N214" s="251">
        <f>4*J214*'[3]Base Costs'!$B$7</f>
        <v>7319.7279592954183</v>
      </c>
      <c r="O214" s="252">
        <f>4*IF(K214&lt;=3,K214*'[3]Base Costs'!$B$8,IF(L214&lt;=3,L214*'[3]Base Costs'!$B$9,'[3]Base Costs'!$B$10*M214))</f>
        <v>1400</v>
      </c>
      <c r="P214" s="252">
        <f>4*C214*'[3]Base Costs'!$B$11</f>
        <v>28999.946274000002</v>
      </c>
      <c r="Q214">
        <f>'[3]Base Costs'!$B$13+'[3]Base Costs'!$B$14</f>
        <v>414</v>
      </c>
      <c r="R214" s="239">
        <f>'[3]Base Costs'!$D$2</f>
        <v>1105.3024868650327</v>
      </c>
      <c r="S214" s="254">
        <f t="shared" si="27"/>
        <v>10239.03044616045</v>
      </c>
    </row>
    <row r="215" spans="1:19" x14ac:dyDescent="0.25">
      <c r="A215" s="248" t="s">
        <v>988</v>
      </c>
      <c r="B215" s="248" t="s">
        <v>965</v>
      </c>
      <c r="C215" s="249">
        <v>219.71742137532286</v>
      </c>
      <c r="D215" s="250">
        <f>C215*'[3]Base Costs'!$B$5</f>
        <v>219.71742137532286</v>
      </c>
      <c r="E215" s="250">
        <f t="shared" si="21"/>
        <v>28</v>
      </c>
      <c r="F215" s="250">
        <f t="shared" si="22"/>
        <v>6</v>
      </c>
      <c r="G215" s="250">
        <f t="shared" si="23"/>
        <v>2</v>
      </c>
      <c r="H215" s="251">
        <f>4*D215*'[3]Base Costs'!$B$7</f>
        <v>43667.51919381717</v>
      </c>
      <c r="I215" s="252">
        <f>4*IF(E215&lt;=3,E215*'[3]Base Costs'!$B$8,IF(F215&lt;=3,F215*'[3]Base Costs'!$B$9,'[3]Base Costs'!$B$10*G215))</f>
        <v>8800</v>
      </c>
      <c r="J215" s="253">
        <f>C215*'[3]Base Costs'!$B$6</f>
        <v>55.808225029332007</v>
      </c>
      <c r="K215" s="250">
        <f t="shared" si="24"/>
        <v>7</v>
      </c>
      <c r="L215" s="250">
        <f t="shared" si="25"/>
        <v>2</v>
      </c>
      <c r="M215" s="250">
        <f t="shared" si="26"/>
        <v>1</v>
      </c>
      <c r="N215" s="251">
        <f>4*J215*'[3]Base Costs'!$B$7</f>
        <v>11091.549875229563</v>
      </c>
      <c r="O215" s="252">
        <f>4*IF(K215&lt;=3,K215*'[3]Base Costs'!$B$8,IF(L215&lt;=3,L215*'[3]Base Costs'!$B$9,'[3]Base Costs'!$B$10*M215))</f>
        <v>2800</v>
      </c>
      <c r="P215" s="252">
        <f>4*C215*'[3]Base Costs'!$B$11</f>
        <v>43943.484275064569</v>
      </c>
      <c r="Q215">
        <f>'[3]Base Costs'!$B$13+'[3]Base Costs'!$B$14</f>
        <v>414</v>
      </c>
      <c r="R215" s="239">
        <f>'[3]Base Costs'!$D$2</f>
        <v>1105.3024868650327</v>
      </c>
      <c r="S215" s="254">
        <f t="shared" si="27"/>
        <v>15410.852362094596</v>
      </c>
    </row>
    <row r="216" spans="1:19" x14ac:dyDescent="0.25">
      <c r="A216" s="248" t="s">
        <v>988</v>
      </c>
      <c r="B216" s="248" t="s">
        <v>966</v>
      </c>
      <c r="C216" s="249">
        <v>141.83346825488971</v>
      </c>
      <c r="D216" s="250">
        <f>C216*'[3]Base Costs'!$B$5</f>
        <v>141.83346825488971</v>
      </c>
      <c r="E216" s="250">
        <f t="shared" si="21"/>
        <v>18</v>
      </c>
      <c r="F216" s="250">
        <f t="shared" si="22"/>
        <v>4</v>
      </c>
      <c r="G216" s="250">
        <f t="shared" si="23"/>
        <v>1</v>
      </c>
      <c r="H216" s="251">
        <f>4*D216*'[3]Base Costs'!$B$7</f>
        <v>28188.550814849805</v>
      </c>
      <c r="I216" s="252">
        <f>4*IF(E216&lt;=3,E216*'[3]Base Costs'!$B$8,IF(F216&lt;=3,F216*'[3]Base Costs'!$B$9,'[3]Base Costs'!$B$10*G216))</f>
        <v>4400</v>
      </c>
      <c r="J216" s="253">
        <f>C216*'[3]Base Costs'!$B$6</f>
        <v>36.025700936741984</v>
      </c>
      <c r="K216" s="250">
        <f t="shared" si="24"/>
        <v>5</v>
      </c>
      <c r="L216" s="250">
        <f t="shared" si="25"/>
        <v>1</v>
      </c>
      <c r="M216" s="250">
        <f t="shared" si="26"/>
        <v>1</v>
      </c>
      <c r="N216" s="251">
        <f>4*J216*'[3]Base Costs'!$B$7</f>
        <v>7159.8919069718495</v>
      </c>
      <c r="O216" s="252">
        <f>4*IF(K216&lt;=3,K216*'[3]Base Costs'!$B$8,IF(L216&lt;=3,L216*'[3]Base Costs'!$B$9,'[3]Base Costs'!$B$10*M216))</f>
        <v>1400</v>
      </c>
      <c r="P216" s="252">
        <f>4*C216*'[3]Base Costs'!$B$11</f>
        <v>28366.693650977941</v>
      </c>
      <c r="Q216">
        <f>'[3]Base Costs'!$B$13+'[3]Base Costs'!$B$14</f>
        <v>414</v>
      </c>
      <c r="R216" s="239">
        <f>'[3]Base Costs'!$D$2</f>
        <v>1105.3024868650327</v>
      </c>
      <c r="S216" s="254">
        <f t="shared" si="27"/>
        <v>10079.194393836882</v>
      </c>
    </row>
    <row r="217" spans="1:19" x14ac:dyDescent="0.25">
      <c r="A217" s="248" t="s">
        <v>988</v>
      </c>
      <c r="B217" s="248" t="s">
        <v>967</v>
      </c>
      <c r="C217" s="249">
        <v>116.19996586589677</v>
      </c>
      <c r="D217" s="250">
        <f>C217*'[3]Base Costs'!$B$5</f>
        <v>116.19996586589677</v>
      </c>
      <c r="E217" s="250">
        <f t="shared" si="21"/>
        <v>15</v>
      </c>
      <c r="F217" s="250">
        <f t="shared" si="22"/>
        <v>3</v>
      </c>
      <c r="G217" s="250">
        <f t="shared" si="23"/>
        <v>1</v>
      </c>
      <c r="H217" s="251">
        <f>4*D217*'[3]Base Costs'!$B$7</f>
        <v>23094.046016051791</v>
      </c>
      <c r="I217" s="252">
        <f>4*IF(E217&lt;=3,E217*'[3]Base Costs'!$B$8,IF(F217&lt;=3,F217*'[3]Base Costs'!$B$9,'[3]Base Costs'!$B$10*G217))</f>
        <v>4200</v>
      </c>
      <c r="J217" s="253">
        <f>C217*'[3]Base Costs'!$B$6</f>
        <v>29.514791329937779</v>
      </c>
      <c r="K217" s="250">
        <f t="shared" si="24"/>
        <v>4</v>
      </c>
      <c r="L217" s="250">
        <f t="shared" si="25"/>
        <v>1</v>
      </c>
      <c r="M217" s="250">
        <f t="shared" si="26"/>
        <v>1</v>
      </c>
      <c r="N217" s="251">
        <f>4*J217*'[3]Base Costs'!$B$7</f>
        <v>5865.887688077155</v>
      </c>
      <c r="O217" s="252">
        <f>4*IF(K217&lt;=3,K217*'[3]Base Costs'!$B$8,IF(L217&lt;=3,L217*'[3]Base Costs'!$B$9,'[3]Base Costs'!$B$10*M217))</f>
        <v>1400</v>
      </c>
      <c r="P217" s="252">
        <f>4*C217*'[3]Base Costs'!$B$11</f>
        <v>23239.993173179355</v>
      </c>
      <c r="Q217">
        <f>'[3]Base Costs'!$B$13+'[3]Base Costs'!$B$14</f>
        <v>414</v>
      </c>
      <c r="R217" s="239">
        <f>'[3]Base Costs'!$D$2</f>
        <v>1105.3024868650327</v>
      </c>
      <c r="S217" s="254">
        <f t="shared" si="27"/>
        <v>8785.1901749421886</v>
      </c>
    </row>
    <row r="218" spans="1:19" x14ac:dyDescent="0.25">
      <c r="A218" s="248" t="s">
        <v>988</v>
      </c>
      <c r="B218" s="248" t="s">
        <v>968</v>
      </c>
      <c r="C218" s="249">
        <v>67.422293480204232</v>
      </c>
      <c r="D218" s="250">
        <f>C218*'[3]Base Costs'!$B$5</f>
        <v>67.422293480204232</v>
      </c>
      <c r="E218" s="250">
        <f t="shared" si="21"/>
        <v>9</v>
      </c>
      <c r="F218" s="250">
        <f t="shared" si="22"/>
        <v>2</v>
      </c>
      <c r="G218" s="250">
        <f t="shared" si="23"/>
        <v>1</v>
      </c>
      <c r="H218" s="251">
        <f>4*D218*'[3]Base Costs'!$B$7</f>
        <v>13399.776295429712</v>
      </c>
      <c r="I218" s="252">
        <f>4*IF(E218&lt;=3,E218*'[3]Base Costs'!$B$8,IF(F218&lt;=3,F218*'[3]Base Costs'!$B$9,'[3]Base Costs'!$B$10*G218))</f>
        <v>2800</v>
      </c>
      <c r="J218" s="253">
        <f>C218*'[3]Base Costs'!$B$6</f>
        <v>17.125262543971875</v>
      </c>
      <c r="K218" s="250">
        <f t="shared" si="24"/>
        <v>3</v>
      </c>
      <c r="L218" s="250">
        <f t="shared" si="25"/>
        <v>1</v>
      </c>
      <c r="M218" s="250">
        <f t="shared" si="26"/>
        <v>1</v>
      </c>
      <c r="N218" s="251">
        <f>4*J218*'[3]Base Costs'!$B$7</f>
        <v>3403.5431790391467</v>
      </c>
      <c r="O218" s="252">
        <f>4*IF(K218&lt;=3,K218*'[3]Base Costs'!$B$8,IF(L218&lt;=3,L218*'[3]Base Costs'!$B$9,'[3]Base Costs'!$B$10*M218))</f>
        <v>1500</v>
      </c>
      <c r="P218" s="252">
        <f>4*C218*'[3]Base Costs'!$B$11</f>
        <v>13484.458696040847</v>
      </c>
      <c r="Q218">
        <f>'[3]Base Costs'!$B$13+'[3]Base Costs'!$B$14</f>
        <v>414</v>
      </c>
      <c r="R218" s="239">
        <f>'[3]Base Costs'!$D$2</f>
        <v>1105.3024868650327</v>
      </c>
      <c r="S218" s="254">
        <f t="shared" si="27"/>
        <v>6422.8456659041794</v>
      </c>
    </row>
    <row r="219" spans="1:19" x14ac:dyDescent="0.25">
      <c r="A219" s="248" t="s">
        <v>988</v>
      </c>
      <c r="B219" s="248" t="s">
        <v>1000</v>
      </c>
      <c r="C219" s="249">
        <v>76.047058823529412</v>
      </c>
      <c r="D219" s="250">
        <f>C219*'[3]Base Costs'!$B$5</f>
        <v>76.047058823529412</v>
      </c>
      <c r="E219" s="250">
        <f t="shared" si="21"/>
        <v>10</v>
      </c>
      <c r="F219" s="250">
        <f t="shared" si="22"/>
        <v>2</v>
      </c>
      <c r="G219" s="250">
        <f t="shared" si="23"/>
        <v>1</v>
      </c>
      <c r="H219" s="251">
        <f>4*D219*'[3]Base Costs'!$B$7</f>
        <v>15113.896658823531</v>
      </c>
      <c r="I219" s="252">
        <f>4*IF(E219&lt;=3,E219*'[3]Base Costs'!$B$8,IF(F219&lt;=3,F219*'[3]Base Costs'!$B$9,'[3]Base Costs'!$B$10*G219))</f>
        <v>2800</v>
      </c>
      <c r="J219" s="253">
        <f>C219*'[3]Base Costs'!$B$6</f>
        <v>19.315952941176469</v>
      </c>
      <c r="K219" s="250">
        <f t="shared" si="24"/>
        <v>3</v>
      </c>
      <c r="L219" s="250">
        <f t="shared" si="25"/>
        <v>1</v>
      </c>
      <c r="M219" s="250">
        <f t="shared" si="26"/>
        <v>1</v>
      </c>
      <c r="N219" s="251">
        <f>4*J219*'[3]Base Costs'!$B$7</f>
        <v>3838.9297513411766</v>
      </c>
      <c r="O219" s="252">
        <f>4*IF(K219&lt;=3,K219*'[3]Base Costs'!$B$8,IF(L219&lt;=3,L219*'[3]Base Costs'!$B$9,'[3]Base Costs'!$B$10*M219))</f>
        <v>1500</v>
      </c>
      <c r="P219" s="252">
        <f>4*C219*'[3]Base Costs'!$B$11</f>
        <v>15209.411764705883</v>
      </c>
      <c r="Q219">
        <f>'[3]Base Costs'!$B$13+'[3]Base Costs'!$B$14</f>
        <v>414</v>
      </c>
      <c r="R219" s="239">
        <f>'[3]Base Costs'!$D$2</f>
        <v>1105.3024868650327</v>
      </c>
      <c r="S219" s="254">
        <f t="shared" si="27"/>
        <v>6858.2322382062093</v>
      </c>
    </row>
    <row r="220" spans="1:19" x14ac:dyDescent="0.25">
      <c r="A220" s="248" t="s">
        <v>988</v>
      </c>
      <c r="B220" s="248" t="s">
        <v>969</v>
      </c>
      <c r="C220" s="249">
        <v>123.22471910112358</v>
      </c>
      <c r="D220" s="250">
        <f>C220*'[3]Base Costs'!$B$5</f>
        <v>123.22471910112358</v>
      </c>
      <c r="E220" s="250">
        <f t="shared" si="21"/>
        <v>16</v>
      </c>
      <c r="F220" s="250">
        <f t="shared" si="22"/>
        <v>4</v>
      </c>
      <c r="G220" s="250">
        <f t="shared" si="23"/>
        <v>1</v>
      </c>
      <c r="H220" s="251">
        <f>4*D220*'[3]Base Costs'!$B$7</f>
        <v>24490.17357303371</v>
      </c>
      <c r="I220" s="252">
        <f>4*IF(E220&lt;=3,E220*'[3]Base Costs'!$B$8,IF(F220&lt;=3,F220*'[3]Base Costs'!$B$9,'[3]Base Costs'!$B$10*G220))</f>
        <v>4400</v>
      </c>
      <c r="J220" s="253">
        <f>C220*'[3]Base Costs'!$B$6</f>
        <v>31.299078651685392</v>
      </c>
      <c r="K220" s="250">
        <f t="shared" si="24"/>
        <v>4</v>
      </c>
      <c r="L220" s="250">
        <f t="shared" si="25"/>
        <v>1</v>
      </c>
      <c r="M220" s="250">
        <f t="shared" si="26"/>
        <v>1</v>
      </c>
      <c r="N220" s="251">
        <f>4*J220*'[3]Base Costs'!$B$7</f>
        <v>6220.504087550562</v>
      </c>
      <c r="O220" s="252">
        <f>4*IF(K220&lt;=3,K220*'[3]Base Costs'!$B$8,IF(L220&lt;=3,L220*'[3]Base Costs'!$B$9,'[3]Base Costs'!$B$10*M220))</f>
        <v>1400</v>
      </c>
      <c r="P220" s="252">
        <f>4*C220*'[3]Base Costs'!$B$11</f>
        <v>24644.943820224718</v>
      </c>
      <c r="Q220">
        <f>'[3]Base Costs'!$B$13+'[3]Base Costs'!$B$14</f>
        <v>414</v>
      </c>
      <c r="R220" s="239">
        <f>'[3]Base Costs'!$D$2</f>
        <v>1105.3024868650327</v>
      </c>
      <c r="S220" s="254">
        <f t="shared" si="27"/>
        <v>9139.8065744155938</v>
      </c>
    </row>
    <row r="221" spans="1:19" x14ac:dyDescent="0.25">
      <c r="A221" s="248" t="s">
        <v>988</v>
      </c>
      <c r="B221" s="248" t="s">
        <v>970</v>
      </c>
      <c r="C221" s="249">
        <v>605.396613481803</v>
      </c>
      <c r="D221" s="250">
        <f>C221*'[3]Base Costs'!$B$5</f>
        <v>605.396613481803</v>
      </c>
      <c r="E221" s="250">
        <f t="shared" si="21"/>
        <v>76</v>
      </c>
      <c r="F221" s="250">
        <f t="shared" si="22"/>
        <v>16</v>
      </c>
      <c r="G221" s="250">
        <f t="shared" si="23"/>
        <v>4</v>
      </c>
      <c r="H221" s="251">
        <f>4*D221*'[3]Base Costs'!$B$7</f>
        <v>120318.94454982747</v>
      </c>
      <c r="I221" s="252">
        <f>4*IF(E221&lt;=3,E221*'[3]Base Costs'!$B$8,IF(F221&lt;=3,F221*'[3]Base Costs'!$B$9,'[3]Base Costs'!$B$10*G221))</f>
        <v>17600</v>
      </c>
      <c r="J221" s="253">
        <f>C221*'[3]Base Costs'!$B$6</f>
        <v>153.77073982437796</v>
      </c>
      <c r="K221" s="250">
        <f t="shared" si="24"/>
        <v>20</v>
      </c>
      <c r="L221" s="250">
        <f t="shared" si="25"/>
        <v>4</v>
      </c>
      <c r="M221" s="250">
        <f t="shared" si="26"/>
        <v>1</v>
      </c>
      <c r="N221" s="251">
        <f>4*J221*'[3]Base Costs'!$B$7</f>
        <v>30561.011915656178</v>
      </c>
      <c r="O221" s="252">
        <f>4*IF(K221&lt;=3,K221*'[3]Base Costs'!$B$8,IF(L221&lt;=3,L221*'[3]Base Costs'!$B$9,'[3]Base Costs'!$B$10*M221))</f>
        <v>4400</v>
      </c>
      <c r="P221" s="252">
        <f>4*C221*'[3]Base Costs'!$B$11</f>
        <v>121079.3226963606</v>
      </c>
      <c r="Q221">
        <f>'[3]Base Costs'!$B$13+'[3]Base Costs'!$B$14</f>
        <v>414</v>
      </c>
      <c r="R221" s="239">
        <f>'[3]Base Costs'!$D$2</f>
        <v>1105.3024868650327</v>
      </c>
      <c r="S221" s="254">
        <f t="shared" si="27"/>
        <v>36480.31440252121</v>
      </c>
    </row>
    <row r="222" spans="1:19" x14ac:dyDescent="0.25">
      <c r="A222" s="248" t="s">
        <v>988</v>
      </c>
      <c r="B222" s="248" t="s">
        <v>971</v>
      </c>
      <c r="C222" s="249">
        <v>106.34605791541327</v>
      </c>
      <c r="D222" s="250">
        <f>C222*'[3]Base Costs'!$B$5</f>
        <v>106.34605791541327</v>
      </c>
      <c r="E222" s="250">
        <f t="shared" si="21"/>
        <v>14</v>
      </c>
      <c r="F222" s="250">
        <f t="shared" si="22"/>
        <v>3</v>
      </c>
      <c r="G222" s="250">
        <f t="shared" si="23"/>
        <v>1</v>
      </c>
      <c r="H222" s="251">
        <f>4*D222*'[3]Base Costs'!$B$7</f>
        <v>21135.640934340896</v>
      </c>
      <c r="I222" s="252">
        <f>4*IF(E222&lt;=3,E222*'[3]Base Costs'!$B$8,IF(F222&lt;=3,F222*'[3]Base Costs'!$B$9,'[3]Base Costs'!$B$10*G222))</f>
        <v>4200</v>
      </c>
      <c r="J222" s="253">
        <f>C222*'[3]Base Costs'!$B$6</f>
        <v>27.01189871051497</v>
      </c>
      <c r="K222" s="250">
        <f t="shared" si="24"/>
        <v>4</v>
      </c>
      <c r="L222" s="250">
        <f t="shared" si="25"/>
        <v>1</v>
      </c>
      <c r="M222" s="250">
        <f t="shared" si="26"/>
        <v>1</v>
      </c>
      <c r="N222" s="251">
        <f>4*J222*'[3]Base Costs'!$B$7</f>
        <v>5368.4527973225877</v>
      </c>
      <c r="O222" s="252">
        <f>4*IF(K222&lt;=3,K222*'[3]Base Costs'!$B$8,IF(L222&lt;=3,L222*'[3]Base Costs'!$B$9,'[3]Base Costs'!$B$10*M222))</f>
        <v>1400</v>
      </c>
      <c r="P222" s="252">
        <f>4*C222*'[3]Base Costs'!$B$11</f>
        <v>21269.211583082655</v>
      </c>
      <c r="Q222">
        <f>'[3]Base Costs'!$B$13+'[3]Base Costs'!$B$14</f>
        <v>414</v>
      </c>
      <c r="R222" s="239">
        <f>'[3]Base Costs'!$D$2</f>
        <v>1105.3024868650327</v>
      </c>
      <c r="S222" s="254">
        <f t="shared" si="27"/>
        <v>8287.7552841876204</v>
      </c>
    </row>
    <row r="223" spans="1:19" x14ac:dyDescent="0.25">
      <c r="A223" s="248" t="s">
        <v>988</v>
      </c>
      <c r="B223" s="248" t="s">
        <v>972</v>
      </c>
      <c r="C223" s="249">
        <v>73.275640029853861</v>
      </c>
      <c r="D223" s="250">
        <f>C223*'[3]Base Costs'!$B$5</f>
        <v>73.275640029853861</v>
      </c>
      <c r="E223" s="250">
        <f t="shared" si="21"/>
        <v>10</v>
      </c>
      <c r="F223" s="250">
        <f t="shared" si="22"/>
        <v>2</v>
      </c>
      <c r="G223" s="250">
        <f t="shared" si="23"/>
        <v>1</v>
      </c>
      <c r="H223" s="251">
        <f>4*D223*'[3]Base Costs'!$B$7</f>
        <v>14563.093802093277</v>
      </c>
      <c r="I223" s="252">
        <f>4*IF(E223&lt;=3,E223*'[3]Base Costs'!$B$8,IF(F223&lt;=3,F223*'[3]Base Costs'!$B$9,'[3]Base Costs'!$B$10*G223))</f>
        <v>2800</v>
      </c>
      <c r="J223" s="253">
        <f>C223*'[3]Base Costs'!$B$6</f>
        <v>18.61201256758288</v>
      </c>
      <c r="K223" s="250">
        <f t="shared" si="24"/>
        <v>3</v>
      </c>
      <c r="L223" s="250">
        <f t="shared" si="25"/>
        <v>1</v>
      </c>
      <c r="M223" s="250">
        <f t="shared" si="26"/>
        <v>1</v>
      </c>
      <c r="N223" s="251">
        <f>4*J223*'[3]Base Costs'!$B$7</f>
        <v>3699.0258257316923</v>
      </c>
      <c r="O223" s="252">
        <f>4*IF(K223&lt;=3,K223*'[3]Base Costs'!$B$8,IF(L223&lt;=3,L223*'[3]Base Costs'!$B$9,'[3]Base Costs'!$B$10*M223))</f>
        <v>1500</v>
      </c>
      <c r="P223" s="252">
        <f>4*C223*'[3]Base Costs'!$B$11</f>
        <v>14655.128005970771</v>
      </c>
      <c r="Q223">
        <f>'[3]Base Costs'!$B$13+'[3]Base Costs'!$B$14</f>
        <v>414</v>
      </c>
      <c r="R223" s="239">
        <f>'[3]Base Costs'!$D$2</f>
        <v>1105.3024868650327</v>
      </c>
      <c r="S223" s="254">
        <f t="shared" si="27"/>
        <v>6718.3283125967246</v>
      </c>
    </row>
    <row r="224" spans="1:19" x14ac:dyDescent="0.25">
      <c r="A224" s="248" t="s">
        <v>988</v>
      </c>
      <c r="B224" s="248" t="s">
        <v>973</v>
      </c>
      <c r="C224" s="249">
        <v>122.47774000000001</v>
      </c>
      <c r="D224" s="250">
        <f>C224*'[3]Base Costs'!$B$5</f>
        <v>122.47774000000001</v>
      </c>
      <c r="E224" s="250">
        <f t="shared" si="21"/>
        <v>16</v>
      </c>
      <c r="F224" s="250">
        <f t="shared" si="22"/>
        <v>4</v>
      </c>
      <c r="G224" s="250">
        <f t="shared" si="23"/>
        <v>1</v>
      </c>
      <c r="H224" s="251">
        <f>4*D224*'[3]Base Costs'!$B$7</f>
        <v>24341.715958560006</v>
      </c>
      <c r="I224" s="252">
        <f>4*IF(E224&lt;=3,E224*'[3]Base Costs'!$B$8,IF(F224&lt;=3,F224*'[3]Base Costs'!$B$9,'[3]Base Costs'!$B$10*G224))</f>
        <v>4400</v>
      </c>
      <c r="J224" s="253">
        <f>C224*'[3]Base Costs'!$B$6</f>
        <v>31.109345960000002</v>
      </c>
      <c r="K224" s="250">
        <f t="shared" si="24"/>
        <v>4</v>
      </c>
      <c r="L224" s="250">
        <f t="shared" si="25"/>
        <v>1</v>
      </c>
      <c r="M224" s="250">
        <f t="shared" si="26"/>
        <v>1</v>
      </c>
      <c r="N224" s="251">
        <f>4*J224*'[3]Base Costs'!$B$7</f>
        <v>6182.7958534742411</v>
      </c>
      <c r="O224" s="252">
        <f>4*IF(K224&lt;=3,K224*'[3]Base Costs'!$B$8,IF(L224&lt;=3,L224*'[3]Base Costs'!$B$9,'[3]Base Costs'!$B$10*M224))</f>
        <v>1400</v>
      </c>
      <c r="P224" s="252">
        <f>4*C224*'[3]Base Costs'!$B$11</f>
        <v>24495.548000000003</v>
      </c>
      <c r="Q224">
        <f>'[3]Base Costs'!$B$13+'[3]Base Costs'!$B$14</f>
        <v>414</v>
      </c>
      <c r="R224" s="239">
        <f>'[3]Base Costs'!$D$2</f>
        <v>1105.3024868650327</v>
      </c>
      <c r="S224" s="254">
        <f t="shared" si="27"/>
        <v>9102.0983403392747</v>
      </c>
    </row>
    <row r="225" spans="1:19" x14ac:dyDescent="0.25">
      <c r="A225" s="248" t="s">
        <v>988</v>
      </c>
      <c r="B225" s="248" t="s">
        <v>1001</v>
      </c>
      <c r="C225" s="249">
        <v>91.370046922257856</v>
      </c>
      <c r="D225" s="250">
        <f>C225*'[3]Base Costs'!$B$5</f>
        <v>91.370046922257856</v>
      </c>
      <c r="E225" s="250">
        <f t="shared" si="21"/>
        <v>12</v>
      </c>
      <c r="F225" s="250">
        <f t="shared" si="22"/>
        <v>3</v>
      </c>
      <c r="G225" s="250">
        <f t="shared" si="23"/>
        <v>1</v>
      </c>
      <c r="H225" s="251">
        <f>4*D225*'[3]Base Costs'!$B$7</f>
        <v>18159.248605517219</v>
      </c>
      <c r="I225" s="252">
        <f>4*IF(E225&lt;=3,E225*'[3]Base Costs'!$B$8,IF(F225&lt;=3,F225*'[3]Base Costs'!$B$9,'[3]Base Costs'!$B$10*G225))</f>
        <v>4200</v>
      </c>
      <c r="J225" s="253">
        <f>C225*'[3]Base Costs'!$B$6</f>
        <v>23.207991918253494</v>
      </c>
      <c r="K225" s="250">
        <f t="shared" si="24"/>
        <v>3</v>
      </c>
      <c r="L225" s="250">
        <f t="shared" si="25"/>
        <v>1</v>
      </c>
      <c r="M225" s="250">
        <f t="shared" si="26"/>
        <v>1</v>
      </c>
      <c r="N225" s="251">
        <f>4*J225*'[3]Base Costs'!$B$7</f>
        <v>4612.4491458013736</v>
      </c>
      <c r="O225" s="252">
        <f>4*IF(K225&lt;=3,K225*'[3]Base Costs'!$B$8,IF(L225&lt;=3,L225*'[3]Base Costs'!$B$9,'[3]Base Costs'!$B$10*M225))</f>
        <v>1500</v>
      </c>
      <c r="P225" s="252">
        <f>4*C225*'[3]Base Costs'!$B$11</f>
        <v>18274.009384451572</v>
      </c>
      <c r="Q225">
        <f>'[3]Base Costs'!$B$13+'[3]Base Costs'!$B$14</f>
        <v>414</v>
      </c>
      <c r="R225" s="239">
        <f>'[3]Base Costs'!$D$2</f>
        <v>1105.3024868650327</v>
      </c>
      <c r="S225" s="254">
        <f t="shared" si="27"/>
        <v>7631.7516326664063</v>
      </c>
    </row>
    <row r="226" spans="1:19" x14ac:dyDescent="0.25">
      <c r="A226" s="248" t="s">
        <v>988</v>
      </c>
      <c r="B226" s="248" t="s">
        <v>974</v>
      </c>
      <c r="C226" s="249">
        <v>180.96469725639406</v>
      </c>
      <c r="D226" s="250">
        <f>C226*'[3]Base Costs'!$B$5</f>
        <v>180.96469725639406</v>
      </c>
      <c r="E226" s="250">
        <f t="shared" si="21"/>
        <v>23</v>
      </c>
      <c r="F226" s="250">
        <f t="shared" si="22"/>
        <v>5</v>
      </c>
      <c r="G226" s="250">
        <f t="shared" si="23"/>
        <v>2</v>
      </c>
      <c r="H226" s="251">
        <f>4*D226*'[3]Base Costs'!$B$7</f>
        <v>35965.647791524789</v>
      </c>
      <c r="I226" s="252">
        <f>4*IF(E226&lt;=3,E226*'[3]Base Costs'!$B$8,IF(F226&lt;=3,F226*'[3]Base Costs'!$B$9,'[3]Base Costs'!$B$10*G226))</f>
        <v>8800</v>
      </c>
      <c r="J226" s="253">
        <f>C226*'[3]Base Costs'!$B$6</f>
        <v>45.965033103124092</v>
      </c>
      <c r="K226" s="250">
        <f t="shared" si="24"/>
        <v>6</v>
      </c>
      <c r="L226" s="250">
        <f t="shared" si="25"/>
        <v>2</v>
      </c>
      <c r="M226" s="250">
        <f t="shared" si="26"/>
        <v>1</v>
      </c>
      <c r="N226" s="251">
        <f>4*J226*'[3]Base Costs'!$B$7</f>
        <v>9135.2745390472955</v>
      </c>
      <c r="O226" s="252">
        <f>4*IF(K226&lt;=3,K226*'[3]Base Costs'!$B$8,IF(L226&lt;=3,L226*'[3]Base Costs'!$B$9,'[3]Base Costs'!$B$10*M226))</f>
        <v>2800</v>
      </c>
      <c r="P226" s="252">
        <f>4*C226*'[3]Base Costs'!$B$11</f>
        <v>36192.939451278813</v>
      </c>
      <c r="Q226">
        <f>'[3]Base Costs'!$B$13+'[3]Base Costs'!$B$14</f>
        <v>414</v>
      </c>
      <c r="R226" s="239">
        <f>'[3]Base Costs'!$D$2</f>
        <v>1105.3024868650327</v>
      </c>
      <c r="S226" s="254">
        <f t="shared" si="27"/>
        <v>13454.577025912327</v>
      </c>
    </row>
    <row r="227" spans="1:19" x14ac:dyDescent="0.25">
      <c r="A227" s="248" t="s">
        <v>988</v>
      </c>
      <c r="B227" s="248" t="s">
        <v>975</v>
      </c>
      <c r="C227" s="249">
        <v>50.339275474565284</v>
      </c>
      <c r="D227" s="250">
        <f>C227*'[3]Base Costs'!$B$5</f>
        <v>50.339275474565284</v>
      </c>
      <c r="E227" s="250">
        <f t="shared" si="21"/>
        <v>7</v>
      </c>
      <c r="F227" s="250">
        <f t="shared" si="22"/>
        <v>2</v>
      </c>
      <c r="G227" s="250">
        <f t="shared" si="23"/>
        <v>1</v>
      </c>
      <c r="H227" s="251">
        <f>4*D227*'[3]Base Costs'!$B$7</f>
        <v>10004.628964917005</v>
      </c>
      <c r="I227" s="252">
        <f>4*IF(E227&lt;=3,E227*'[3]Base Costs'!$B$8,IF(F227&lt;=3,F227*'[3]Base Costs'!$B$9,'[3]Base Costs'!$B$10*G227))</f>
        <v>2800</v>
      </c>
      <c r="J227" s="253">
        <f>C227*'[3]Base Costs'!$B$6</f>
        <v>12.786175970539583</v>
      </c>
      <c r="K227" s="250">
        <f t="shared" si="24"/>
        <v>2</v>
      </c>
      <c r="L227" s="250">
        <f t="shared" si="25"/>
        <v>1</v>
      </c>
      <c r="M227" s="250">
        <f t="shared" si="26"/>
        <v>1</v>
      </c>
      <c r="N227" s="251">
        <f>4*J227*'[3]Base Costs'!$B$7</f>
        <v>2541.1757570889195</v>
      </c>
      <c r="O227" s="252">
        <f>4*IF(K227&lt;=3,K227*'[3]Base Costs'!$B$8,IF(L227&lt;=3,L227*'[3]Base Costs'!$B$9,'[3]Base Costs'!$B$10*M227))</f>
        <v>1000</v>
      </c>
      <c r="P227" s="252">
        <f>4*C227*'[3]Base Costs'!$B$11</f>
        <v>10067.855094913057</v>
      </c>
      <c r="Q227">
        <f>'[3]Base Costs'!$B$13+'[3]Base Costs'!$B$14</f>
        <v>414</v>
      </c>
      <c r="R227" s="239">
        <f>'[3]Base Costs'!$D$2</f>
        <v>1105.3024868650327</v>
      </c>
      <c r="S227" s="254">
        <f t="shared" si="27"/>
        <v>5060.4782439539522</v>
      </c>
    </row>
    <row r="228" spans="1:19" x14ac:dyDescent="0.25">
      <c r="A228" s="248" t="s">
        <v>988</v>
      </c>
      <c r="B228" s="248" t="s">
        <v>976</v>
      </c>
      <c r="C228" s="249">
        <v>289.00585353500003</v>
      </c>
      <c r="D228" s="250">
        <f>C228*'[3]Base Costs'!$B$5</f>
        <v>289.00585353500003</v>
      </c>
      <c r="E228" s="250">
        <f t="shared" si="21"/>
        <v>37</v>
      </c>
      <c r="F228" s="250">
        <f t="shared" si="22"/>
        <v>8</v>
      </c>
      <c r="G228" s="250">
        <f t="shared" si="23"/>
        <v>2</v>
      </c>
      <c r="H228" s="251">
        <f>4*D228*'[3]Base Costs'!$B$7</f>
        <v>57438.179354960055</v>
      </c>
      <c r="I228" s="252">
        <f>4*IF(E228&lt;=3,E228*'[3]Base Costs'!$B$8,IF(F228&lt;=3,F228*'[3]Base Costs'!$B$9,'[3]Base Costs'!$B$10*G228))</f>
        <v>8800</v>
      </c>
      <c r="J228" s="253">
        <f>C228*'[3]Base Costs'!$B$6</f>
        <v>73.407486797890002</v>
      </c>
      <c r="K228" s="250">
        <f t="shared" si="24"/>
        <v>10</v>
      </c>
      <c r="L228" s="250">
        <f t="shared" si="25"/>
        <v>2</v>
      </c>
      <c r="M228" s="250">
        <f t="shared" si="26"/>
        <v>1</v>
      </c>
      <c r="N228" s="251">
        <f>4*J228*'[3]Base Costs'!$B$7</f>
        <v>14589.297556159852</v>
      </c>
      <c r="O228" s="252">
        <f>4*IF(K228&lt;=3,K228*'[3]Base Costs'!$B$8,IF(L228&lt;=3,L228*'[3]Base Costs'!$B$9,'[3]Base Costs'!$B$10*M228))</f>
        <v>2800</v>
      </c>
      <c r="P228" s="252">
        <f>4*C228*'[3]Base Costs'!$B$11</f>
        <v>57801.170707000005</v>
      </c>
      <c r="Q228">
        <f>'[3]Base Costs'!$B$13+'[3]Base Costs'!$B$14</f>
        <v>414</v>
      </c>
      <c r="R228" s="239">
        <f>'[3]Base Costs'!$D$2</f>
        <v>1105.3024868650327</v>
      </c>
      <c r="S228" s="254">
        <f t="shared" si="27"/>
        <v>18908.600043024886</v>
      </c>
    </row>
    <row r="229" spans="1:19" x14ac:dyDescent="0.25">
      <c r="A229" s="248" t="s">
        <v>988</v>
      </c>
      <c r="B229" s="248" t="s">
        <v>977</v>
      </c>
      <c r="C229" s="249">
        <v>154.19683931329263</v>
      </c>
      <c r="D229" s="250">
        <f>C229*'[3]Base Costs'!$B$5</f>
        <v>154.19683931329263</v>
      </c>
      <c r="E229" s="250">
        <f t="shared" si="21"/>
        <v>20</v>
      </c>
      <c r="F229" s="250">
        <f t="shared" si="22"/>
        <v>4</v>
      </c>
      <c r="G229" s="250">
        <f t="shared" si="23"/>
        <v>1</v>
      </c>
      <c r="H229" s="251">
        <f>4*D229*'[3]Base Costs'!$B$7</f>
        <v>30645.696632481035</v>
      </c>
      <c r="I229" s="252">
        <f>4*IF(E229&lt;=3,E229*'[3]Base Costs'!$B$8,IF(F229&lt;=3,F229*'[3]Base Costs'!$B$9,'[3]Base Costs'!$B$10*G229))</f>
        <v>4400</v>
      </c>
      <c r="J229" s="253">
        <f>C229*'[3]Base Costs'!$B$6</f>
        <v>39.16599718557633</v>
      </c>
      <c r="K229" s="250">
        <f t="shared" si="24"/>
        <v>5</v>
      </c>
      <c r="L229" s="250">
        <f t="shared" si="25"/>
        <v>1</v>
      </c>
      <c r="M229" s="250">
        <f t="shared" si="26"/>
        <v>1</v>
      </c>
      <c r="N229" s="251">
        <f>4*J229*'[3]Base Costs'!$B$7</f>
        <v>7784.006944650183</v>
      </c>
      <c r="O229" s="252">
        <f>4*IF(K229&lt;=3,K229*'[3]Base Costs'!$B$8,IF(L229&lt;=3,L229*'[3]Base Costs'!$B$9,'[3]Base Costs'!$B$10*M229))</f>
        <v>1400</v>
      </c>
      <c r="P229" s="252">
        <f>4*C229*'[3]Base Costs'!$B$11</f>
        <v>30839.367862658524</v>
      </c>
      <c r="Q229">
        <f>'[3]Base Costs'!$B$13+'[3]Base Costs'!$B$14</f>
        <v>414</v>
      </c>
      <c r="R229" s="239">
        <f>'[3]Base Costs'!$D$2</f>
        <v>1105.3024868650327</v>
      </c>
      <c r="S229" s="254">
        <f t="shared" si="27"/>
        <v>10703.309431515216</v>
      </c>
    </row>
    <row r="230" spans="1:19" x14ac:dyDescent="0.25">
      <c r="A230" s="248" t="s">
        <v>988</v>
      </c>
      <c r="B230" s="248" t="s">
        <v>978</v>
      </c>
      <c r="C230" s="249">
        <v>255.52898646446204</v>
      </c>
      <c r="D230" s="250">
        <f>C230*'[3]Base Costs'!$B$5</f>
        <v>255.52898646446204</v>
      </c>
      <c r="E230" s="250">
        <f t="shared" si="21"/>
        <v>32</v>
      </c>
      <c r="F230" s="250">
        <f t="shared" si="22"/>
        <v>7</v>
      </c>
      <c r="G230" s="250">
        <f t="shared" si="23"/>
        <v>2</v>
      </c>
      <c r="H230" s="251">
        <f>4*D230*'[3]Base Costs'!$B$7</f>
        <v>50784.852885893051</v>
      </c>
      <c r="I230" s="252">
        <f>4*IF(E230&lt;=3,E230*'[3]Base Costs'!$B$8,IF(F230&lt;=3,F230*'[3]Base Costs'!$B$9,'[3]Base Costs'!$B$10*G230))</f>
        <v>8800</v>
      </c>
      <c r="J230" s="253">
        <f>C230*'[3]Base Costs'!$B$6</f>
        <v>64.904362561973358</v>
      </c>
      <c r="K230" s="250">
        <f t="shared" si="24"/>
        <v>9</v>
      </c>
      <c r="L230" s="250">
        <f t="shared" si="25"/>
        <v>2</v>
      </c>
      <c r="M230" s="250">
        <f t="shared" si="26"/>
        <v>1</v>
      </c>
      <c r="N230" s="251">
        <f>4*J230*'[3]Base Costs'!$B$7</f>
        <v>12899.352633016835</v>
      </c>
      <c r="O230" s="252">
        <f>4*IF(K230&lt;=3,K230*'[3]Base Costs'!$B$8,IF(L230&lt;=3,L230*'[3]Base Costs'!$B$9,'[3]Base Costs'!$B$10*M230))</f>
        <v>2800</v>
      </c>
      <c r="P230" s="252">
        <f>4*C230*'[3]Base Costs'!$B$11</f>
        <v>51105.797292892406</v>
      </c>
      <c r="Q230">
        <f>'[3]Base Costs'!$B$13+'[3]Base Costs'!$B$14</f>
        <v>414</v>
      </c>
      <c r="R230" s="239">
        <f>'[3]Base Costs'!$D$2</f>
        <v>1105.3024868650327</v>
      </c>
      <c r="S230" s="254">
        <f t="shared" si="27"/>
        <v>17218.655119881867</v>
      </c>
    </row>
    <row r="231" spans="1:19" x14ac:dyDescent="0.25">
      <c r="A231" s="248" t="s">
        <v>988</v>
      </c>
      <c r="B231" s="248" t="s">
        <v>979</v>
      </c>
      <c r="C231" s="249">
        <v>81.679866431680338</v>
      </c>
      <c r="D231" s="250">
        <f>C231*'[3]Base Costs'!$B$5</f>
        <v>81.679866431680338</v>
      </c>
      <c r="E231" s="250">
        <f t="shared" si="21"/>
        <v>11</v>
      </c>
      <c r="F231" s="250">
        <f t="shared" si="22"/>
        <v>3</v>
      </c>
      <c r="G231" s="250">
        <f t="shared" si="23"/>
        <v>1</v>
      </c>
      <c r="H231" s="251">
        <f>4*D231*'[3]Base Costs'!$B$7</f>
        <v>16233.383374097879</v>
      </c>
      <c r="I231" s="252">
        <f>4*IF(E231&lt;=3,E231*'[3]Base Costs'!$B$8,IF(F231&lt;=3,F231*'[3]Base Costs'!$B$9,'[3]Base Costs'!$B$10*G231))</f>
        <v>4200</v>
      </c>
      <c r="J231" s="253">
        <f>C231*'[3]Base Costs'!$B$6</f>
        <v>20.746686073646806</v>
      </c>
      <c r="K231" s="250">
        <f t="shared" si="24"/>
        <v>3</v>
      </c>
      <c r="L231" s="250">
        <f t="shared" si="25"/>
        <v>1</v>
      </c>
      <c r="M231" s="250">
        <f t="shared" si="26"/>
        <v>1</v>
      </c>
      <c r="N231" s="251">
        <f>4*J231*'[3]Base Costs'!$B$7</f>
        <v>4123.2793770208618</v>
      </c>
      <c r="O231" s="252">
        <f>4*IF(K231&lt;=3,K231*'[3]Base Costs'!$B$8,IF(L231&lt;=3,L231*'[3]Base Costs'!$B$9,'[3]Base Costs'!$B$10*M231))</f>
        <v>1500</v>
      </c>
      <c r="P231" s="252">
        <f>4*C231*'[3]Base Costs'!$B$11</f>
        <v>16335.973286336068</v>
      </c>
      <c r="Q231">
        <f>'[3]Base Costs'!$B$13+'[3]Base Costs'!$B$14</f>
        <v>414</v>
      </c>
      <c r="R231" s="239">
        <f>'[3]Base Costs'!$D$2</f>
        <v>1105.3024868650327</v>
      </c>
      <c r="S231" s="254">
        <f t="shared" si="27"/>
        <v>7142.5818638858946</v>
      </c>
    </row>
    <row r="232" spans="1:19" x14ac:dyDescent="0.25">
      <c r="A232" s="248" t="s">
        <v>988</v>
      </c>
      <c r="B232" s="248" t="s">
        <v>980</v>
      </c>
      <c r="C232" s="249">
        <v>63.104447772546408</v>
      </c>
      <c r="D232" s="250">
        <f>C232*'[3]Base Costs'!$B$5</f>
        <v>63.104447772546408</v>
      </c>
      <c r="E232" s="250">
        <f t="shared" si="21"/>
        <v>8</v>
      </c>
      <c r="F232" s="250">
        <f t="shared" si="22"/>
        <v>2</v>
      </c>
      <c r="G232" s="250">
        <f t="shared" si="23"/>
        <v>1</v>
      </c>
      <c r="H232" s="251">
        <f>4*D232*'[3]Base Costs'!$B$7</f>
        <v>12541.630368106966</v>
      </c>
      <c r="I232" s="252">
        <f>4*IF(E232&lt;=3,E232*'[3]Base Costs'!$B$8,IF(F232&lt;=3,F232*'[3]Base Costs'!$B$9,'[3]Base Costs'!$B$10*G232))</f>
        <v>2800</v>
      </c>
      <c r="J232" s="253">
        <f>C232*'[3]Base Costs'!$B$6</f>
        <v>16.028529734226787</v>
      </c>
      <c r="K232" s="250">
        <f t="shared" si="24"/>
        <v>3</v>
      </c>
      <c r="L232" s="250">
        <f t="shared" si="25"/>
        <v>1</v>
      </c>
      <c r="M232" s="250">
        <f t="shared" si="26"/>
        <v>1</v>
      </c>
      <c r="N232" s="251">
        <f>4*J232*'[3]Base Costs'!$B$7</f>
        <v>3185.574113499169</v>
      </c>
      <c r="O232" s="252">
        <f>4*IF(K232&lt;=3,K232*'[3]Base Costs'!$B$8,IF(L232&lt;=3,L232*'[3]Base Costs'!$B$9,'[3]Base Costs'!$B$10*M232))</f>
        <v>1500</v>
      </c>
      <c r="P232" s="252">
        <f>4*C232*'[3]Base Costs'!$B$11</f>
        <v>12620.889554509282</v>
      </c>
      <c r="Q232">
        <f>'[3]Base Costs'!$B$13+'[3]Base Costs'!$B$14</f>
        <v>414</v>
      </c>
      <c r="R232" s="239">
        <f>'[3]Base Costs'!$D$2</f>
        <v>1105.3024868650327</v>
      </c>
      <c r="S232" s="254">
        <f t="shared" si="27"/>
        <v>6204.8766003642013</v>
      </c>
    </row>
    <row r="233" spans="1:19" x14ac:dyDescent="0.25">
      <c r="A233" s="248" t="s">
        <v>988</v>
      </c>
      <c r="B233" s="248" t="s">
        <v>981</v>
      </c>
      <c r="C233" s="249">
        <v>79.312906464377704</v>
      </c>
      <c r="D233" s="250">
        <f>C233*'[3]Base Costs'!$B$5</f>
        <v>79.312906464377704</v>
      </c>
      <c r="E233" s="250">
        <f t="shared" si="21"/>
        <v>10</v>
      </c>
      <c r="F233" s="250">
        <f t="shared" si="22"/>
        <v>2</v>
      </c>
      <c r="G233" s="250">
        <f t="shared" si="23"/>
        <v>1</v>
      </c>
      <c r="H233" s="251">
        <f>4*D233*'[3]Base Costs'!$B$7</f>
        <v>15762.964282356284</v>
      </c>
      <c r="I233" s="252">
        <f>4*IF(E233&lt;=3,E233*'[3]Base Costs'!$B$8,IF(F233&lt;=3,F233*'[3]Base Costs'!$B$9,'[3]Base Costs'!$B$10*G233))</f>
        <v>2800</v>
      </c>
      <c r="J233" s="253">
        <f>C233*'[3]Base Costs'!$B$6</f>
        <v>20.145478241951938</v>
      </c>
      <c r="K233" s="250">
        <f t="shared" si="24"/>
        <v>3</v>
      </c>
      <c r="L233" s="250">
        <f t="shared" si="25"/>
        <v>1</v>
      </c>
      <c r="M233" s="250">
        <f t="shared" si="26"/>
        <v>1</v>
      </c>
      <c r="N233" s="251">
        <f>4*J233*'[3]Base Costs'!$B$7</f>
        <v>4003.7929277184967</v>
      </c>
      <c r="O233" s="252">
        <f>4*IF(K233&lt;=3,K233*'[3]Base Costs'!$B$8,IF(L233&lt;=3,L233*'[3]Base Costs'!$B$9,'[3]Base Costs'!$B$10*M233))</f>
        <v>1500</v>
      </c>
      <c r="P233" s="252">
        <f>4*C233*'[3]Base Costs'!$B$11</f>
        <v>15862.58129287554</v>
      </c>
      <c r="Q233">
        <f>'[3]Base Costs'!$B$13+'[3]Base Costs'!$B$14</f>
        <v>414</v>
      </c>
      <c r="R233" s="239">
        <f>'[3]Base Costs'!$D$2</f>
        <v>1105.3024868650327</v>
      </c>
      <c r="S233" s="254">
        <f t="shared" si="27"/>
        <v>7023.0954145835294</v>
      </c>
    </row>
    <row r="234" spans="1:19" x14ac:dyDescent="0.25">
      <c r="A234" s="248" t="s">
        <v>988</v>
      </c>
      <c r="B234" s="248" t="s">
        <v>982</v>
      </c>
      <c r="C234" s="249">
        <v>86.934071898984584</v>
      </c>
      <c r="D234" s="250">
        <f>C234*'[3]Base Costs'!$B$5</f>
        <v>86.934071898984584</v>
      </c>
      <c r="E234" s="250">
        <f t="shared" si="21"/>
        <v>11</v>
      </c>
      <c r="F234" s="250">
        <f t="shared" si="22"/>
        <v>3</v>
      </c>
      <c r="G234" s="250">
        <f t="shared" si="23"/>
        <v>1</v>
      </c>
      <c r="H234" s="251">
        <f>4*D234*'[3]Base Costs'!$B$7</f>
        <v>17277.625185491794</v>
      </c>
      <c r="I234" s="252">
        <f>4*IF(E234&lt;=3,E234*'[3]Base Costs'!$B$8,IF(F234&lt;=3,F234*'[3]Base Costs'!$B$9,'[3]Base Costs'!$B$10*G234))</f>
        <v>4200</v>
      </c>
      <c r="J234" s="253">
        <f>C234*'[3]Base Costs'!$B$6</f>
        <v>22.081254262342085</v>
      </c>
      <c r="K234" s="250">
        <f t="shared" si="24"/>
        <v>3</v>
      </c>
      <c r="L234" s="250">
        <f t="shared" si="25"/>
        <v>1</v>
      </c>
      <c r="M234" s="250">
        <f t="shared" si="26"/>
        <v>1</v>
      </c>
      <c r="N234" s="251">
        <f>4*J234*'[3]Base Costs'!$B$7</f>
        <v>4388.5167971149158</v>
      </c>
      <c r="O234" s="252">
        <f>4*IF(K234&lt;=3,K234*'[3]Base Costs'!$B$8,IF(L234&lt;=3,L234*'[3]Base Costs'!$B$9,'[3]Base Costs'!$B$10*M234))</f>
        <v>1500</v>
      </c>
      <c r="P234" s="252">
        <f>4*C234*'[3]Base Costs'!$B$11</f>
        <v>17386.814379796917</v>
      </c>
      <c r="Q234">
        <f>'[3]Base Costs'!$B$13+'[3]Base Costs'!$B$14</f>
        <v>414</v>
      </c>
      <c r="R234" s="239">
        <f>'[3]Base Costs'!$D$2</f>
        <v>1105.3024868650327</v>
      </c>
      <c r="S234" s="254">
        <f t="shared" si="27"/>
        <v>7407.8192839799485</v>
      </c>
    </row>
    <row r="235" spans="1:19" x14ac:dyDescent="0.25">
      <c r="A235" s="248" t="s">
        <v>988</v>
      </c>
      <c r="B235" s="248" t="s">
        <v>983</v>
      </c>
      <c r="C235" s="249">
        <v>76.857849265168284</v>
      </c>
      <c r="D235" s="250">
        <f>C235*'[3]Base Costs'!$B$5</f>
        <v>76.857849265168284</v>
      </c>
      <c r="E235" s="250">
        <f t="shared" si="21"/>
        <v>10</v>
      </c>
      <c r="F235" s="250">
        <f t="shared" si="22"/>
        <v>2</v>
      </c>
      <c r="G235" s="250">
        <f t="shared" si="23"/>
        <v>1</v>
      </c>
      <c r="H235" s="251">
        <f>4*D235*'[3]Base Costs'!$B$7</f>
        <v>15275.036394356608</v>
      </c>
      <c r="I235" s="252">
        <f>4*IF(E235&lt;=3,E235*'[3]Base Costs'!$B$8,IF(F235&lt;=3,F235*'[3]Base Costs'!$B$9,'[3]Base Costs'!$B$10*G235))</f>
        <v>2800</v>
      </c>
      <c r="J235" s="253">
        <f>C235*'[3]Base Costs'!$B$6</f>
        <v>19.521893713352743</v>
      </c>
      <c r="K235" s="250">
        <f t="shared" si="24"/>
        <v>3</v>
      </c>
      <c r="L235" s="250">
        <f t="shared" si="25"/>
        <v>1</v>
      </c>
      <c r="M235" s="250">
        <f t="shared" si="26"/>
        <v>1</v>
      </c>
      <c r="N235" s="251">
        <f>4*J235*'[3]Base Costs'!$B$7</f>
        <v>3879.8592441665778</v>
      </c>
      <c r="O235" s="252">
        <f>4*IF(K235&lt;=3,K235*'[3]Base Costs'!$B$8,IF(L235&lt;=3,L235*'[3]Base Costs'!$B$9,'[3]Base Costs'!$B$10*M235))</f>
        <v>1500</v>
      </c>
      <c r="P235" s="252">
        <f>4*C235*'[3]Base Costs'!$B$11</f>
        <v>15371.569853033656</v>
      </c>
      <c r="Q235">
        <f>'[3]Base Costs'!$B$13+'[3]Base Costs'!$B$14</f>
        <v>414</v>
      </c>
      <c r="R235" s="239">
        <f>'[3]Base Costs'!$D$2</f>
        <v>1105.3024868650327</v>
      </c>
      <c r="S235" s="254">
        <f t="shared" si="27"/>
        <v>6899.1617310316105</v>
      </c>
    </row>
    <row r="236" spans="1:19" x14ac:dyDescent="0.25">
      <c r="A236" s="248" t="s">
        <v>988</v>
      </c>
      <c r="B236" s="248" t="s">
        <v>984</v>
      </c>
      <c r="C236" s="249">
        <v>248.03077956111065</v>
      </c>
      <c r="D236" s="250">
        <f>C236*'[3]Base Costs'!$B$5</f>
        <v>248.03077956111065</v>
      </c>
      <c r="E236" s="250">
        <f t="shared" si="21"/>
        <v>32</v>
      </c>
      <c r="F236" s="250">
        <f t="shared" si="22"/>
        <v>7</v>
      </c>
      <c r="G236" s="250">
        <f t="shared" si="23"/>
        <v>2</v>
      </c>
      <c r="H236" s="251">
        <f>4*D236*'[3]Base Costs'!$B$7</f>
        <v>49294.629253093379</v>
      </c>
      <c r="I236" s="252">
        <f>4*IF(E236&lt;=3,E236*'[3]Base Costs'!$B$8,IF(F236&lt;=3,F236*'[3]Base Costs'!$B$9,'[3]Base Costs'!$B$10*G236))</f>
        <v>8800</v>
      </c>
      <c r="J236" s="253">
        <f>C236*'[3]Base Costs'!$B$6</f>
        <v>62.999818008522105</v>
      </c>
      <c r="K236" s="250">
        <f t="shared" si="24"/>
        <v>8</v>
      </c>
      <c r="L236" s="250">
        <f t="shared" si="25"/>
        <v>2</v>
      </c>
      <c r="M236" s="250">
        <f t="shared" si="26"/>
        <v>1</v>
      </c>
      <c r="N236" s="251">
        <f>4*J236*'[3]Base Costs'!$B$7</f>
        <v>12520.83583028572</v>
      </c>
      <c r="O236" s="252">
        <f>4*IF(K236&lt;=3,K236*'[3]Base Costs'!$B$8,IF(L236&lt;=3,L236*'[3]Base Costs'!$B$9,'[3]Base Costs'!$B$10*M236))</f>
        <v>2800</v>
      </c>
      <c r="P236" s="252">
        <f>4*C236*'[3]Base Costs'!$B$11</f>
        <v>49606.15591222213</v>
      </c>
      <c r="Q236">
        <f>'[3]Base Costs'!$B$13+'[3]Base Costs'!$B$14</f>
        <v>414</v>
      </c>
      <c r="R236" s="239">
        <f>'[3]Base Costs'!$D$2</f>
        <v>1105.3024868650327</v>
      </c>
      <c r="S236" s="254">
        <f t="shared" si="27"/>
        <v>16840.138317150751</v>
      </c>
    </row>
    <row r="237" spans="1:19" x14ac:dyDescent="0.25">
      <c r="A237" s="248" t="s">
        <v>988</v>
      </c>
      <c r="B237" s="248" t="s">
        <v>1002</v>
      </c>
      <c r="C237" s="249">
        <v>116.51537910425525</v>
      </c>
      <c r="D237" s="250">
        <f>C237*'[3]Base Costs'!$B$5</f>
        <v>116.51537910425525</v>
      </c>
      <c r="E237" s="250">
        <f t="shared" si="21"/>
        <v>15</v>
      </c>
      <c r="F237" s="250">
        <f t="shared" si="22"/>
        <v>3</v>
      </c>
      <c r="G237" s="250">
        <f t="shared" si="23"/>
        <v>1</v>
      </c>
      <c r="H237" s="251">
        <f>4*D237*'[3]Base Costs'!$B$7</f>
        <v>23156.732504696109</v>
      </c>
      <c r="I237" s="252">
        <f>4*IF(E237&lt;=3,E237*'[3]Base Costs'!$B$8,IF(F237&lt;=3,F237*'[3]Base Costs'!$B$9,'[3]Base Costs'!$B$10*G237))</f>
        <v>4200</v>
      </c>
      <c r="J237" s="253">
        <f>C237*'[3]Base Costs'!$B$6</f>
        <v>29.594906292480832</v>
      </c>
      <c r="K237" s="250">
        <f t="shared" si="24"/>
        <v>4</v>
      </c>
      <c r="L237" s="250">
        <f t="shared" si="25"/>
        <v>1</v>
      </c>
      <c r="M237" s="250">
        <f t="shared" si="26"/>
        <v>1</v>
      </c>
      <c r="N237" s="251">
        <f>4*J237*'[3]Base Costs'!$B$7</f>
        <v>5881.8100561928113</v>
      </c>
      <c r="O237" s="252">
        <f>4*IF(K237&lt;=3,K237*'[3]Base Costs'!$B$8,IF(L237&lt;=3,L237*'[3]Base Costs'!$B$9,'[3]Base Costs'!$B$10*M237))</f>
        <v>1400</v>
      </c>
      <c r="P237" s="252">
        <f>4*C237*'[3]Base Costs'!$B$11</f>
        <v>23303.075820851049</v>
      </c>
      <c r="Q237">
        <f>'[3]Base Costs'!$B$13+'[3]Base Costs'!$B$14</f>
        <v>414</v>
      </c>
      <c r="R237" s="239">
        <f>'[3]Base Costs'!$D$2</f>
        <v>1105.3024868650327</v>
      </c>
      <c r="S237" s="254">
        <f t="shared" si="27"/>
        <v>8801.1125430578431</v>
      </c>
    </row>
    <row r="238" spans="1:19" x14ac:dyDescent="0.25">
      <c r="A238" s="248" t="s">
        <v>988</v>
      </c>
      <c r="B238" s="248" t="s">
        <v>985</v>
      </c>
      <c r="C238" s="249">
        <v>134.21580695873169</v>
      </c>
      <c r="D238" s="250">
        <f>C238*'[3]Base Costs'!$B$5</f>
        <v>134.21580695873169</v>
      </c>
      <c r="E238" s="250">
        <f t="shared" si="21"/>
        <v>17</v>
      </c>
      <c r="F238" s="250">
        <f t="shared" si="22"/>
        <v>4</v>
      </c>
      <c r="G238" s="250">
        <f t="shared" si="23"/>
        <v>1</v>
      </c>
      <c r="H238" s="251">
        <f>4*D238*'[3]Base Costs'!$B$7</f>
        <v>26674.586338206176</v>
      </c>
      <c r="I238" s="252">
        <f>4*IF(E238&lt;=3,E238*'[3]Base Costs'!$B$8,IF(F238&lt;=3,F238*'[3]Base Costs'!$B$9,'[3]Base Costs'!$B$10*G238))</f>
        <v>4400</v>
      </c>
      <c r="J238" s="253">
        <f>C238*'[3]Base Costs'!$B$6</f>
        <v>34.090814967517851</v>
      </c>
      <c r="K238" s="250">
        <f t="shared" si="24"/>
        <v>5</v>
      </c>
      <c r="L238" s="250">
        <f t="shared" si="25"/>
        <v>1</v>
      </c>
      <c r="M238" s="250">
        <f t="shared" si="26"/>
        <v>1</v>
      </c>
      <c r="N238" s="251">
        <f>4*J238*'[3]Base Costs'!$B$7</f>
        <v>6775.3449299043687</v>
      </c>
      <c r="O238" s="252">
        <f>4*IF(K238&lt;=3,K238*'[3]Base Costs'!$B$8,IF(L238&lt;=3,L238*'[3]Base Costs'!$B$9,'[3]Base Costs'!$B$10*M238))</f>
        <v>1400</v>
      </c>
      <c r="P238" s="252">
        <f>4*C238*'[3]Base Costs'!$B$11</f>
        <v>26843.161391746336</v>
      </c>
      <c r="Q238">
        <f>'[3]Base Costs'!$B$13+'[3]Base Costs'!$B$14</f>
        <v>414</v>
      </c>
      <c r="R238" s="239">
        <f>'[3]Base Costs'!$D$2</f>
        <v>1105.3024868650327</v>
      </c>
      <c r="S238" s="254">
        <f t="shared" si="27"/>
        <v>9694.6474167694014</v>
      </c>
    </row>
    <row r="239" spans="1:19" x14ac:dyDescent="0.25">
      <c r="A239" s="248" t="s">
        <v>988</v>
      </c>
      <c r="B239" s="248" t="s">
        <v>986</v>
      </c>
      <c r="C239" s="249">
        <v>52.099865305000002</v>
      </c>
      <c r="D239" s="250">
        <f>C239*'[3]Base Costs'!$B$5</f>
        <v>52.099865305000002</v>
      </c>
      <c r="E239" s="250">
        <f t="shared" si="21"/>
        <v>7</v>
      </c>
      <c r="F239" s="250">
        <f t="shared" si="22"/>
        <v>2</v>
      </c>
      <c r="G239" s="250">
        <f t="shared" si="23"/>
        <v>1</v>
      </c>
      <c r="H239" s="251">
        <f>4*D239*'[3]Base Costs'!$B$7</f>
        <v>10354.535630176922</v>
      </c>
      <c r="I239" s="252">
        <f>4*IF(E239&lt;=3,E239*'[3]Base Costs'!$B$8,IF(F239&lt;=3,F239*'[3]Base Costs'!$B$9,'[3]Base Costs'!$B$10*G239))</f>
        <v>2800</v>
      </c>
      <c r="J239" s="253">
        <f>C239*'[3]Base Costs'!$B$6</f>
        <v>13.233365787470001</v>
      </c>
      <c r="K239" s="250">
        <f t="shared" si="24"/>
        <v>2</v>
      </c>
      <c r="L239" s="250">
        <f t="shared" si="25"/>
        <v>1</v>
      </c>
      <c r="M239" s="250">
        <f t="shared" si="26"/>
        <v>1</v>
      </c>
      <c r="N239" s="251">
        <f>4*J239*'[3]Base Costs'!$B$7</f>
        <v>2630.0520500649382</v>
      </c>
      <c r="O239" s="252">
        <f>4*IF(K239&lt;=3,K239*'[3]Base Costs'!$B$8,IF(L239&lt;=3,L239*'[3]Base Costs'!$B$9,'[3]Base Costs'!$B$10*M239))</f>
        <v>1000</v>
      </c>
      <c r="P239" s="252">
        <f>4*C239*'[3]Base Costs'!$B$11</f>
        <v>10419.973061000001</v>
      </c>
      <c r="Q239">
        <f>'[3]Base Costs'!$B$13+'[3]Base Costs'!$B$14</f>
        <v>414</v>
      </c>
      <c r="R239" s="239">
        <f>'[3]Base Costs'!$D$2</f>
        <v>1105.3024868650327</v>
      </c>
      <c r="S239" s="254">
        <f t="shared" si="27"/>
        <v>5149.3545369299709</v>
      </c>
    </row>
    <row r="240" spans="1:19" x14ac:dyDescent="0.25">
      <c r="A240" s="248" t="s">
        <v>988</v>
      </c>
      <c r="B240" s="248" t="s">
        <v>987</v>
      </c>
      <c r="C240" s="249">
        <v>66.921262112948611</v>
      </c>
      <c r="D240" s="250">
        <f>C240*'[3]Base Costs'!$B$5</f>
        <v>66.921262112948611</v>
      </c>
      <c r="E240" s="250">
        <f t="shared" si="21"/>
        <v>9</v>
      </c>
      <c r="F240" s="250">
        <f t="shared" si="22"/>
        <v>2</v>
      </c>
      <c r="G240" s="250">
        <f t="shared" si="23"/>
        <v>1</v>
      </c>
      <c r="H240" s="251">
        <f>4*D240*'[3]Base Costs'!$B$7</f>
        <v>13300.19931737586</v>
      </c>
      <c r="I240" s="252">
        <f>4*IF(E240&lt;=3,E240*'[3]Base Costs'!$B$8,IF(F240&lt;=3,F240*'[3]Base Costs'!$B$9,'[3]Base Costs'!$B$10*G240))</f>
        <v>2800</v>
      </c>
      <c r="J240" s="253">
        <f>C240*'[3]Base Costs'!$B$6</f>
        <v>16.998000576688948</v>
      </c>
      <c r="K240" s="250">
        <f t="shared" si="24"/>
        <v>3</v>
      </c>
      <c r="L240" s="250">
        <f t="shared" si="25"/>
        <v>1</v>
      </c>
      <c r="M240" s="250">
        <f t="shared" si="26"/>
        <v>1</v>
      </c>
      <c r="N240" s="251">
        <f>4*J240*'[3]Base Costs'!$B$7</f>
        <v>3378.2506266134687</v>
      </c>
      <c r="O240" s="252">
        <f>4*IF(K240&lt;=3,K240*'[3]Base Costs'!$B$8,IF(L240&lt;=3,L240*'[3]Base Costs'!$B$9,'[3]Base Costs'!$B$10*M240))</f>
        <v>1500</v>
      </c>
      <c r="P240" s="252">
        <f>4*C240*'[3]Base Costs'!$B$11</f>
        <v>13384.252422589721</v>
      </c>
      <c r="Q240">
        <f>'[3]Base Costs'!$B$13+'[3]Base Costs'!$B$14</f>
        <v>414</v>
      </c>
      <c r="R240" s="239">
        <f>'[3]Base Costs'!$D$2</f>
        <v>1105.3024868650327</v>
      </c>
      <c r="S240" s="254">
        <f t="shared" si="27"/>
        <v>6397.5531134785015</v>
      </c>
    </row>
    <row r="241" spans="1:19" x14ac:dyDescent="0.25">
      <c r="A241" s="248" t="s">
        <v>1003</v>
      </c>
      <c r="B241" s="248" t="s">
        <v>873</v>
      </c>
      <c r="C241" s="249">
        <v>200.60310447638173</v>
      </c>
      <c r="D241" s="250">
        <f>C241*'[3]Base Costs'!$B$5</f>
        <v>200.60310447638173</v>
      </c>
      <c r="E241" s="250">
        <f t="shared" si="21"/>
        <v>26</v>
      </c>
      <c r="F241" s="250">
        <f t="shared" si="22"/>
        <v>6</v>
      </c>
      <c r="G241" s="250">
        <f t="shared" si="23"/>
        <v>2</v>
      </c>
      <c r="H241" s="251">
        <f>4*D241*'[3]Base Costs'!$B$7</f>
        <v>39868.663396054013</v>
      </c>
      <c r="I241" s="252">
        <f>4*IF(E241&lt;=3,E241*'[3]Base Costs'!$B$8,IF(F241&lt;=3,F241*'[3]Base Costs'!$B$9,'[3]Base Costs'!$B$10*G241))</f>
        <v>8800</v>
      </c>
      <c r="J241" s="253">
        <f>C241*'[3]Base Costs'!$B$6</f>
        <v>50.953188537000962</v>
      </c>
      <c r="K241" s="250">
        <f t="shared" si="24"/>
        <v>7</v>
      </c>
      <c r="L241" s="250">
        <f t="shared" si="25"/>
        <v>2</v>
      </c>
      <c r="M241" s="250">
        <f t="shared" si="26"/>
        <v>1</v>
      </c>
      <c r="N241" s="251">
        <f>4*J241*'[3]Base Costs'!$B$7</f>
        <v>10126.64050259772</v>
      </c>
      <c r="O241" s="252">
        <f>4*IF(K241&lt;=3,K241*'[3]Base Costs'!$B$8,IF(L241&lt;=3,L241*'[3]Base Costs'!$B$9,'[3]Base Costs'!$B$10*M241))</f>
        <v>2800</v>
      </c>
      <c r="P241" s="252">
        <f>4*C241*'[3]Base Costs'!$B$11</f>
        <v>40120.620895276348</v>
      </c>
      <c r="Q241">
        <f>'[3]Base Costs'!$B$13+'[3]Base Costs'!$B$14</f>
        <v>414</v>
      </c>
      <c r="R241" s="239">
        <f>'[3]Base Costs'!$D$2</f>
        <v>1105.3024868650327</v>
      </c>
      <c r="S241" s="254">
        <f t="shared" si="27"/>
        <v>14445.942989462754</v>
      </c>
    </row>
    <row r="242" spans="1:19" x14ac:dyDescent="0.25">
      <c r="A242" s="248" t="s">
        <v>1003</v>
      </c>
      <c r="B242" s="248" t="s">
        <v>876</v>
      </c>
      <c r="C242" s="249">
        <v>82.82749037492151</v>
      </c>
      <c r="D242" s="250">
        <f>C242*'[3]Base Costs'!$B$5</f>
        <v>82.82749037492151</v>
      </c>
      <c r="E242" s="250">
        <f t="shared" si="21"/>
        <v>11</v>
      </c>
      <c r="F242" s="250">
        <f t="shared" si="22"/>
        <v>3</v>
      </c>
      <c r="G242" s="250">
        <f t="shared" si="23"/>
        <v>1</v>
      </c>
      <c r="H242" s="251">
        <f>4*D242*'[3]Base Costs'!$B$7</f>
        <v>16461.466747073402</v>
      </c>
      <c r="I242" s="252">
        <f>4*IF(E242&lt;=3,E242*'[3]Base Costs'!$B$8,IF(F242&lt;=3,F242*'[3]Base Costs'!$B$9,'[3]Base Costs'!$B$10*G242))</f>
        <v>4200</v>
      </c>
      <c r="J242" s="253">
        <f>C242*'[3]Base Costs'!$B$6</f>
        <v>21.038182555230065</v>
      </c>
      <c r="K242" s="250">
        <f t="shared" si="24"/>
        <v>3</v>
      </c>
      <c r="L242" s="250">
        <f t="shared" si="25"/>
        <v>1</v>
      </c>
      <c r="M242" s="250">
        <f t="shared" si="26"/>
        <v>1</v>
      </c>
      <c r="N242" s="251">
        <f>4*J242*'[3]Base Costs'!$B$7</f>
        <v>4181.2125537566444</v>
      </c>
      <c r="O242" s="252">
        <f>4*IF(K242&lt;=3,K242*'[3]Base Costs'!$B$8,IF(L242&lt;=3,L242*'[3]Base Costs'!$B$9,'[3]Base Costs'!$B$10*M242))</f>
        <v>1500</v>
      </c>
      <c r="P242" s="252">
        <f>4*C242*'[3]Base Costs'!$B$11</f>
        <v>16565.498074984302</v>
      </c>
      <c r="Q242">
        <f>'[3]Base Costs'!$B$13+'[3]Base Costs'!$B$14</f>
        <v>414</v>
      </c>
      <c r="R242" s="239">
        <f>'[3]Base Costs'!$D$2</f>
        <v>1105.3024868650327</v>
      </c>
      <c r="S242" s="254">
        <f t="shared" si="27"/>
        <v>7200.5150406216771</v>
      </c>
    </row>
    <row r="243" spans="1:19" x14ac:dyDescent="0.25">
      <c r="A243" s="248" t="s">
        <v>1003</v>
      </c>
      <c r="B243" s="248" t="s">
        <v>989</v>
      </c>
      <c r="C243" s="249">
        <v>53.90341054834267</v>
      </c>
      <c r="D243" s="250">
        <f>C243*'[3]Base Costs'!$B$5</f>
        <v>53.90341054834267</v>
      </c>
      <c r="E243" s="250">
        <f t="shared" si="21"/>
        <v>7</v>
      </c>
      <c r="F243" s="250">
        <f t="shared" si="22"/>
        <v>2</v>
      </c>
      <c r="G243" s="250">
        <f t="shared" si="23"/>
        <v>1</v>
      </c>
      <c r="H243" s="251">
        <f>4*D243*'[3]Base Costs'!$B$7</f>
        <v>10712.979426019818</v>
      </c>
      <c r="I243" s="252">
        <f>4*IF(E243&lt;=3,E243*'[3]Base Costs'!$B$8,IF(F243&lt;=3,F243*'[3]Base Costs'!$B$9,'[3]Base Costs'!$B$10*G243))</f>
        <v>2800</v>
      </c>
      <c r="J243" s="253">
        <f>C243*'[3]Base Costs'!$B$6</f>
        <v>13.691466279279039</v>
      </c>
      <c r="K243" s="250">
        <f t="shared" si="24"/>
        <v>2</v>
      </c>
      <c r="L243" s="250">
        <f t="shared" si="25"/>
        <v>1</v>
      </c>
      <c r="M243" s="250">
        <f t="shared" si="26"/>
        <v>1</v>
      </c>
      <c r="N243" s="251">
        <f>4*J243*'[3]Base Costs'!$B$7</f>
        <v>2721.0967742090338</v>
      </c>
      <c r="O243" s="252">
        <f>4*IF(K243&lt;=3,K243*'[3]Base Costs'!$B$8,IF(L243&lt;=3,L243*'[3]Base Costs'!$B$9,'[3]Base Costs'!$B$10*M243))</f>
        <v>1000</v>
      </c>
      <c r="P243" s="252">
        <f>4*C243*'[3]Base Costs'!$B$11</f>
        <v>10780.682109668534</v>
      </c>
      <c r="Q243">
        <f>'[3]Base Costs'!$B$13+'[3]Base Costs'!$B$14</f>
        <v>414</v>
      </c>
      <c r="R243" s="239">
        <f>'[3]Base Costs'!$D$2</f>
        <v>1105.3024868650327</v>
      </c>
      <c r="S243" s="254">
        <f t="shared" si="27"/>
        <v>5240.3992610740661</v>
      </c>
    </row>
    <row r="244" spans="1:19" x14ac:dyDescent="0.25">
      <c r="A244" s="248" t="s">
        <v>1003</v>
      </c>
      <c r="B244" s="248" t="s">
        <v>878</v>
      </c>
      <c r="C244" s="249">
        <v>159.39973624500001</v>
      </c>
      <c r="D244" s="250">
        <f>C244*'[3]Base Costs'!$B$5</f>
        <v>159.39973624500001</v>
      </c>
      <c r="E244" s="250">
        <f t="shared" si="21"/>
        <v>20</v>
      </c>
      <c r="F244" s="250">
        <f t="shared" si="22"/>
        <v>4</v>
      </c>
      <c r="G244" s="250">
        <f t="shared" si="23"/>
        <v>1</v>
      </c>
      <c r="H244" s="251">
        <f>4*D244*'[3]Base Costs'!$B$7</f>
        <v>31679.741180276287</v>
      </c>
      <c r="I244" s="252">
        <f>4*IF(E244&lt;=3,E244*'[3]Base Costs'!$B$8,IF(F244&lt;=3,F244*'[3]Base Costs'!$B$9,'[3]Base Costs'!$B$10*G244))</f>
        <v>4400</v>
      </c>
      <c r="J244" s="253">
        <f>C244*'[3]Base Costs'!$B$6</f>
        <v>40.487533006230002</v>
      </c>
      <c r="K244" s="250">
        <f t="shared" si="24"/>
        <v>6</v>
      </c>
      <c r="L244" s="250">
        <f t="shared" si="25"/>
        <v>2</v>
      </c>
      <c r="M244" s="250">
        <f t="shared" si="26"/>
        <v>1</v>
      </c>
      <c r="N244" s="251">
        <f>4*J244*'[3]Base Costs'!$B$7</f>
        <v>8046.6542597901771</v>
      </c>
      <c r="O244" s="252">
        <f>4*IF(K244&lt;=3,K244*'[3]Base Costs'!$B$8,IF(L244&lt;=3,L244*'[3]Base Costs'!$B$9,'[3]Base Costs'!$B$10*M244))</f>
        <v>2800</v>
      </c>
      <c r="P244" s="252">
        <f>4*C244*'[3]Base Costs'!$B$11</f>
        <v>31879.947249000004</v>
      </c>
      <c r="Q244">
        <f>'[3]Base Costs'!$B$13+'[3]Base Costs'!$B$14</f>
        <v>414</v>
      </c>
      <c r="R244" s="239">
        <f>'[3]Base Costs'!$D$2</f>
        <v>1105.3024868650327</v>
      </c>
      <c r="S244" s="254">
        <f t="shared" si="27"/>
        <v>12365.956746655211</v>
      </c>
    </row>
    <row r="245" spans="1:19" x14ac:dyDescent="0.25">
      <c r="A245" s="248" t="s">
        <v>1003</v>
      </c>
      <c r="B245" s="248" t="s">
        <v>879</v>
      </c>
      <c r="C245" s="249">
        <v>72.930463870959656</v>
      </c>
      <c r="D245" s="250">
        <f>C245*'[3]Base Costs'!$B$5</f>
        <v>72.930463870959656</v>
      </c>
      <c r="E245" s="250">
        <f t="shared" si="21"/>
        <v>10</v>
      </c>
      <c r="F245" s="250">
        <f t="shared" si="22"/>
        <v>2</v>
      </c>
      <c r="G245" s="250">
        <f t="shared" si="23"/>
        <v>1</v>
      </c>
      <c r="H245" s="251">
        <f>4*D245*'[3]Base Costs'!$B$7</f>
        <v>14494.492111570007</v>
      </c>
      <c r="I245" s="252">
        <f>4*IF(E245&lt;=3,E245*'[3]Base Costs'!$B$8,IF(F245&lt;=3,F245*'[3]Base Costs'!$B$9,'[3]Base Costs'!$B$10*G245))</f>
        <v>2800</v>
      </c>
      <c r="J245" s="253">
        <f>C245*'[3]Base Costs'!$B$6</f>
        <v>18.524337823223753</v>
      </c>
      <c r="K245" s="250">
        <f t="shared" si="24"/>
        <v>3</v>
      </c>
      <c r="L245" s="250">
        <f t="shared" si="25"/>
        <v>1</v>
      </c>
      <c r="M245" s="250">
        <f t="shared" si="26"/>
        <v>1</v>
      </c>
      <c r="N245" s="251">
        <f>4*J245*'[3]Base Costs'!$B$7</f>
        <v>3681.6009963387824</v>
      </c>
      <c r="O245" s="252">
        <f>4*IF(K245&lt;=3,K245*'[3]Base Costs'!$B$8,IF(L245&lt;=3,L245*'[3]Base Costs'!$B$9,'[3]Base Costs'!$B$10*M245))</f>
        <v>1500</v>
      </c>
      <c r="P245" s="252">
        <f>4*C245*'[3]Base Costs'!$B$11</f>
        <v>14586.092774191931</v>
      </c>
      <c r="Q245">
        <f>'[3]Base Costs'!$B$13+'[3]Base Costs'!$B$14</f>
        <v>414</v>
      </c>
      <c r="R245" s="239">
        <f>'[3]Base Costs'!$D$2</f>
        <v>1105.3024868650327</v>
      </c>
      <c r="S245" s="254">
        <f t="shared" si="27"/>
        <v>6700.9034832038151</v>
      </c>
    </row>
    <row r="246" spans="1:19" x14ac:dyDescent="0.25">
      <c r="A246" s="248" t="s">
        <v>1003</v>
      </c>
      <c r="B246" s="248" t="s">
        <v>880</v>
      </c>
      <c r="C246" s="249">
        <v>67.248775165789667</v>
      </c>
      <c r="D246" s="250">
        <f>C246*'[3]Base Costs'!$B$5</f>
        <v>67.248775165789667</v>
      </c>
      <c r="E246" s="250">
        <f t="shared" si="21"/>
        <v>9</v>
      </c>
      <c r="F246" s="250">
        <f t="shared" si="22"/>
        <v>2</v>
      </c>
      <c r="G246" s="250">
        <f t="shared" si="23"/>
        <v>1</v>
      </c>
      <c r="H246" s="251">
        <f>4*D246*'[3]Base Costs'!$B$7</f>
        <v>13365.290571549704</v>
      </c>
      <c r="I246" s="252">
        <f>4*IF(E246&lt;=3,E246*'[3]Base Costs'!$B$8,IF(F246&lt;=3,F246*'[3]Base Costs'!$B$9,'[3]Base Costs'!$B$10*G246))</f>
        <v>2800</v>
      </c>
      <c r="J246" s="253">
        <f>C246*'[3]Base Costs'!$B$6</f>
        <v>17.081188892110575</v>
      </c>
      <c r="K246" s="250">
        <f t="shared" si="24"/>
        <v>3</v>
      </c>
      <c r="L246" s="250">
        <f t="shared" si="25"/>
        <v>1</v>
      </c>
      <c r="M246" s="250">
        <f t="shared" si="26"/>
        <v>1</v>
      </c>
      <c r="N246" s="251">
        <f>4*J246*'[3]Base Costs'!$B$7</f>
        <v>3394.7838051736244</v>
      </c>
      <c r="O246" s="252">
        <f>4*IF(K246&lt;=3,K246*'[3]Base Costs'!$B$8,IF(L246&lt;=3,L246*'[3]Base Costs'!$B$9,'[3]Base Costs'!$B$10*M246))</f>
        <v>1500</v>
      </c>
      <c r="P246" s="252">
        <f>4*C246*'[3]Base Costs'!$B$11</f>
        <v>13449.755033157933</v>
      </c>
      <c r="Q246">
        <f>'[3]Base Costs'!$B$13+'[3]Base Costs'!$B$14</f>
        <v>414</v>
      </c>
      <c r="R246" s="239">
        <f>'[3]Base Costs'!$D$2</f>
        <v>1105.3024868650327</v>
      </c>
      <c r="S246" s="254">
        <f t="shared" si="27"/>
        <v>6414.0862920386571</v>
      </c>
    </row>
    <row r="247" spans="1:19" x14ac:dyDescent="0.25">
      <c r="A247" s="248" t="s">
        <v>1003</v>
      </c>
      <c r="B247" s="248" t="s">
        <v>990</v>
      </c>
      <c r="C247" s="249">
        <v>105.30083049000004</v>
      </c>
      <c r="D247" s="250">
        <f>C247*'[3]Base Costs'!$B$5</f>
        <v>105.30083049000004</v>
      </c>
      <c r="E247" s="250">
        <f t="shared" si="21"/>
        <v>14</v>
      </c>
      <c r="F247" s="250">
        <f t="shared" si="22"/>
        <v>3</v>
      </c>
      <c r="G247" s="250">
        <f t="shared" si="23"/>
        <v>1</v>
      </c>
      <c r="H247" s="251">
        <f>4*D247*'[3]Base Costs'!$B$7</f>
        <v>20927.908254904571</v>
      </c>
      <c r="I247" s="252">
        <f>4*IF(E247&lt;=3,E247*'[3]Base Costs'!$B$8,IF(F247&lt;=3,F247*'[3]Base Costs'!$B$9,'[3]Base Costs'!$B$10*G247))</f>
        <v>4200</v>
      </c>
      <c r="J247" s="253">
        <f>C247*'[3]Base Costs'!$B$6</f>
        <v>26.74641094446001</v>
      </c>
      <c r="K247" s="250">
        <f t="shared" si="24"/>
        <v>4</v>
      </c>
      <c r="L247" s="250">
        <f t="shared" si="25"/>
        <v>1</v>
      </c>
      <c r="M247" s="250">
        <f t="shared" si="26"/>
        <v>1</v>
      </c>
      <c r="N247" s="251">
        <f>4*J247*'[3]Base Costs'!$B$7</f>
        <v>5315.6886967457613</v>
      </c>
      <c r="O247" s="252">
        <f>4*IF(K247&lt;=3,K247*'[3]Base Costs'!$B$8,IF(L247&lt;=3,L247*'[3]Base Costs'!$B$9,'[3]Base Costs'!$B$10*M247))</f>
        <v>1400</v>
      </c>
      <c r="P247" s="252">
        <f>4*C247*'[3]Base Costs'!$B$11</f>
        <v>21060.166098000009</v>
      </c>
      <c r="Q247">
        <f>'[3]Base Costs'!$B$13+'[3]Base Costs'!$B$14</f>
        <v>414</v>
      </c>
      <c r="R247" s="239">
        <f>'[3]Base Costs'!$D$2</f>
        <v>1105.3024868650327</v>
      </c>
      <c r="S247" s="254">
        <f t="shared" si="27"/>
        <v>8234.9911836107931</v>
      </c>
    </row>
    <row r="248" spans="1:19" x14ac:dyDescent="0.25">
      <c r="A248" s="248" t="s">
        <v>1003</v>
      </c>
      <c r="B248" s="248" t="s">
        <v>881</v>
      </c>
      <c r="C248" s="249">
        <v>88.505715107066351</v>
      </c>
      <c r="D248" s="250">
        <f>C248*'[3]Base Costs'!$B$5</f>
        <v>88.505715107066351</v>
      </c>
      <c r="E248" s="250">
        <f t="shared" si="21"/>
        <v>12</v>
      </c>
      <c r="F248" s="250">
        <f t="shared" si="22"/>
        <v>3</v>
      </c>
      <c r="G248" s="250">
        <f t="shared" si="23"/>
        <v>1</v>
      </c>
      <c r="H248" s="251">
        <f>4*D248*'[3]Base Costs'!$B$7</f>
        <v>17589.979843238798</v>
      </c>
      <c r="I248" s="252">
        <f>4*IF(E248&lt;=3,E248*'[3]Base Costs'!$B$8,IF(F248&lt;=3,F248*'[3]Base Costs'!$B$9,'[3]Base Costs'!$B$10*G248))</f>
        <v>4200</v>
      </c>
      <c r="J248" s="253">
        <f>C248*'[3]Base Costs'!$B$6</f>
        <v>22.480451637194854</v>
      </c>
      <c r="K248" s="250">
        <f t="shared" si="24"/>
        <v>3</v>
      </c>
      <c r="L248" s="250">
        <f t="shared" si="25"/>
        <v>1</v>
      </c>
      <c r="M248" s="250">
        <f t="shared" si="26"/>
        <v>1</v>
      </c>
      <c r="N248" s="251">
        <f>4*J248*'[3]Base Costs'!$B$7</f>
        <v>4467.8548801826546</v>
      </c>
      <c r="O248" s="252">
        <f>4*IF(K248&lt;=3,K248*'[3]Base Costs'!$B$8,IF(L248&lt;=3,L248*'[3]Base Costs'!$B$9,'[3]Base Costs'!$B$10*M248))</f>
        <v>1500</v>
      </c>
      <c r="P248" s="252">
        <f>4*C248*'[3]Base Costs'!$B$11</f>
        <v>17701.143021413271</v>
      </c>
      <c r="Q248">
        <f>'[3]Base Costs'!$B$13+'[3]Base Costs'!$B$14</f>
        <v>414</v>
      </c>
      <c r="R248" s="239">
        <f>'[3]Base Costs'!$D$2</f>
        <v>1105.3024868650327</v>
      </c>
      <c r="S248" s="254">
        <f t="shared" si="27"/>
        <v>7487.1573670476873</v>
      </c>
    </row>
    <row r="249" spans="1:19" x14ac:dyDescent="0.25">
      <c r="A249" s="248" t="s">
        <v>1003</v>
      </c>
      <c r="B249" s="248" t="s">
        <v>991</v>
      </c>
      <c r="C249" s="249">
        <v>106.8926648862298</v>
      </c>
      <c r="D249" s="250">
        <f>C249*'[3]Base Costs'!$B$5</f>
        <v>106.8926648862298</v>
      </c>
      <c r="E249" s="250">
        <f t="shared" si="21"/>
        <v>14</v>
      </c>
      <c r="F249" s="250">
        <f t="shared" si="22"/>
        <v>3</v>
      </c>
      <c r="G249" s="250">
        <f t="shared" si="23"/>
        <v>1</v>
      </c>
      <c r="H249" s="251">
        <f>4*D249*'[3]Base Costs'!$B$7</f>
        <v>21244.275790148859</v>
      </c>
      <c r="I249" s="252">
        <f>4*IF(E249&lt;=3,E249*'[3]Base Costs'!$B$8,IF(F249&lt;=3,F249*'[3]Base Costs'!$B$9,'[3]Base Costs'!$B$10*G249))</f>
        <v>4200</v>
      </c>
      <c r="J249" s="253">
        <f>C249*'[3]Base Costs'!$B$6</f>
        <v>27.150736881102368</v>
      </c>
      <c r="K249" s="250">
        <f t="shared" si="24"/>
        <v>4</v>
      </c>
      <c r="L249" s="250">
        <f t="shared" si="25"/>
        <v>1</v>
      </c>
      <c r="M249" s="250">
        <f t="shared" si="26"/>
        <v>1</v>
      </c>
      <c r="N249" s="251">
        <f>4*J249*'[3]Base Costs'!$B$7</f>
        <v>5396.0460506978097</v>
      </c>
      <c r="O249" s="252">
        <f>4*IF(K249&lt;=3,K249*'[3]Base Costs'!$B$8,IF(L249&lt;=3,L249*'[3]Base Costs'!$B$9,'[3]Base Costs'!$B$10*M249))</f>
        <v>1400</v>
      </c>
      <c r="P249" s="252">
        <f>4*C249*'[3]Base Costs'!$B$11</f>
        <v>21378.532977245959</v>
      </c>
      <c r="Q249">
        <f>'[3]Base Costs'!$B$13+'[3]Base Costs'!$B$14</f>
        <v>414</v>
      </c>
      <c r="R249" s="239">
        <f>'[3]Base Costs'!$D$2</f>
        <v>1105.3024868650327</v>
      </c>
      <c r="S249" s="254">
        <f t="shared" si="27"/>
        <v>8315.3485375628425</v>
      </c>
    </row>
    <row r="250" spans="1:19" x14ac:dyDescent="0.25">
      <c r="A250" s="248" t="s">
        <v>1003</v>
      </c>
      <c r="B250" s="248" t="s">
        <v>992</v>
      </c>
      <c r="C250" s="249">
        <v>101.3215298795519</v>
      </c>
      <c r="D250" s="250">
        <f>C250*'[3]Base Costs'!$B$5</f>
        <v>101.3215298795519</v>
      </c>
      <c r="E250" s="250">
        <f t="shared" si="21"/>
        <v>13</v>
      </c>
      <c r="F250" s="250">
        <f t="shared" si="22"/>
        <v>3</v>
      </c>
      <c r="G250" s="250">
        <f t="shared" si="23"/>
        <v>1</v>
      </c>
      <c r="H250" s="251">
        <f>4*D250*'[3]Base Costs'!$B$7</f>
        <v>20137.046134381668</v>
      </c>
      <c r="I250" s="252">
        <f>4*IF(E250&lt;=3,E250*'[3]Base Costs'!$B$8,IF(F250&lt;=3,F250*'[3]Base Costs'!$B$9,'[3]Base Costs'!$B$10*G250))</f>
        <v>4200</v>
      </c>
      <c r="J250" s="253">
        <f>C250*'[3]Base Costs'!$B$6</f>
        <v>25.735668589406185</v>
      </c>
      <c r="K250" s="250">
        <f t="shared" si="24"/>
        <v>4</v>
      </c>
      <c r="L250" s="250">
        <f t="shared" si="25"/>
        <v>1</v>
      </c>
      <c r="M250" s="250">
        <f t="shared" si="26"/>
        <v>1</v>
      </c>
      <c r="N250" s="251">
        <f>4*J250*'[3]Base Costs'!$B$7</f>
        <v>5114.8097181329431</v>
      </c>
      <c r="O250" s="252">
        <f>4*IF(K250&lt;=3,K250*'[3]Base Costs'!$B$8,IF(L250&lt;=3,L250*'[3]Base Costs'!$B$9,'[3]Base Costs'!$B$10*M250))</f>
        <v>1400</v>
      </c>
      <c r="P250" s="252">
        <f>4*C250*'[3]Base Costs'!$B$11</f>
        <v>20264.305975910382</v>
      </c>
      <c r="Q250">
        <f>'[3]Base Costs'!$B$13+'[3]Base Costs'!$B$14</f>
        <v>414</v>
      </c>
      <c r="R250" s="239">
        <f>'[3]Base Costs'!$D$2</f>
        <v>1105.3024868650327</v>
      </c>
      <c r="S250" s="254">
        <f t="shared" si="27"/>
        <v>8034.1122049979758</v>
      </c>
    </row>
    <row r="251" spans="1:19" x14ac:dyDescent="0.25">
      <c r="A251" s="248" t="s">
        <v>1003</v>
      </c>
      <c r="B251" s="248" t="s">
        <v>882</v>
      </c>
      <c r="C251" s="249">
        <v>181.74810091532655</v>
      </c>
      <c r="D251" s="250">
        <f>C251*'[3]Base Costs'!$B$5</f>
        <v>181.74810091532655</v>
      </c>
      <c r="E251" s="250">
        <f t="shared" si="21"/>
        <v>23</v>
      </c>
      <c r="F251" s="250">
        <f t="shared" si="22"/>
        <v>5</v>
      </c>
      <c r="G251" s="250">
        <f t="shared" si="23"/>
        <v>2</v>
      </c>
      <c r="H251" s="251">
        <f>4*D251*'[3]Base Costs'!$B$7</f>
        <v>36121.344568315661</v>
      </c>
      <c r="I251" s="252">
        <f>4*IF(E251&lt;=3,E251*'[3]Base Costs'!$B$8,IF(F251&lt;=3,F251*'[3]Base Costs'!$B$9,'[3]Base Costs'!$B$10*G251))</f>
        <v>8800</v>
      </c>
      <c r="J251" s="253">
        <f>C251*'[3]Base Costs'!$B$6</f>
        <v>46.164017632492943</v>
      </c>
      <c r="K251" s="250">
        <f t="shared" si="24"/>
        <v>6</v>
      </c>
      <c r="L251" s="250">
        <f t="shared" si="25"/>
        <v>2</v>
      </c>
      <c r="M251" s="250">
        <f t="shared" si="26"/>
        <v>1</v>
      </c>
      <c r="N251" s="251">
        <f>4*J251*'[3]Base Costs'!$B$7</f>
        <v>9174.8215203521795</v>
      </c>
      <c r="O251" s="252">
        <f>4*IF(K251&lt;=3,K251*'[3]Base Costs'!$B$8,IF(L251&lt;=3,L251*'[3]Base Costs'!$B$9,'[3]Base Costs'!$B$10*M251))</f>
        <v>2800</v>
      </c>
      <c r="P251" s="252">
        <f>4*C251*'[3]Base Costs'!$B$11</f>
        <v>36349.620183065308</v>
      </c>
      <c r="Q251">
        <f>'[3]Base Costs'!$B$13+'[3]Base Costs'!$B$14</f>
        <v>414</v>
      </c>
      <c r="R251" s="239">
        <f>'[3]Base Costs'!$D$2</f>
        <v>1105.3024868650327</v>
      </c>
      <c r="S251" s="254">
        <f t="shared" si="27"/>
        <v>13494.124007217211</v>
      </c>
    </row>
    <row r="252" spans="1:19" x14ac:dyDescent="0.25">
      <c r="A252" s="248" t="s">
        <v>1003</v>
      </c>
      <c r="B252" s="248" t="s">
        <v>883</v>
      </c>
      <c r="C252" s="249">
        <v>337.40546097603425</v>
      </c>
      <c r="D252" s="250">
        <f>C252*'[3]Base Costs'!$B$5</f>
        <v>337.40546097603425</v>
      </c>
      <c r="E252" s="250">
        <f t="shared" si="21"/>
        <v>43</v>
      </c>
      <c r="F252" s="250">
        <f t="shared" si="22"/>
        <v>9</v>
      </c>
      <c r="G252" s="250">
        <f t="shared" si="23"/>
        <v>3</v>
      </c>
      <c r="H252" s="251">
        <f>4*D252*'[3]Base Costs'!$B$7</f>
        <v>67057.310936220965</v>
      </c>
      <c r="I252" s="252">
        <f>4*IF(E252&lt;=3,E252*'[3]Base Costs'!$B$8,IF(F252&lt;=3,F252*'[3]Base Costs'!$B$9,'[3]Base Costs'!$B$10*G252))</f>
        <v>13200</v>
      </c>
      <c r="J252" s="253">
        <f>C252*'[3]Base Costs'!$B$6</f>
        <v>85.700987087912694</v>
      </c>
      <c r="K252" s="250">
        <f t="shared" si="24"/>
        <v>11</v>
      </c>
      <c r="L252" s="250">
        <f t="shared" si="25"/>
        <v>3</v>
      </c>
      <c r="M252" s="250">
        <f t="shared" si="26"/>
        <v>1</v>
      </c>
      <c r="N252" s="251">
        <f>4*J252*'[3]Base Costs'!$B$7</f>
        <v>17032.556977800123</v>
      </c>
      <c r="O252" s="252">
        <f>4*IF(K252&lt;=3,K252*'[3]Base Costs'!$B$8,IF(L252&lt;=3,L252*'[3]Base Costs'!$B$9,'[3]Base Costs'!$B$10*M252))</f>
        <v>4200</v>
      </c>
      <c r="P252" s="252">
        <f>4*C252*'[3]Base Costs'!$B$11</f>
        <v>67481.092195206846</v>
      </c>
      <c r="Q252">
        <f>'[3]Base Costs'!$B$13+'[3]Base Costs'!$B$14</f>
        <v>414</v>
      </c>
      <c r="R252" s="239">
        <f>'[3]Base Costs'!$D$2</f>
        <v>1105.3024868650327</v>
      </c>
      <c r="S252" s="254">
        <f t="shared" si="27"/>
        <v>22751.859464665155</v>
      </c>
    </row>
    <row r="253" spans="1:19" x14ac:dyDescent="0.25">
      <c r="A253" s="248" t="s">
        <v>1003</v>
      </c>
      <c r="B253" s="248" t="s">
        <v>884</v>
      </c>
      <c r="C253" s="249">
        <v>188.55709661684364</v>
      </c>
      <c r="D253" s="250">
        <f>C253*'[3]Base Costs'!$B$5</f>
        <v>188.55709661684364</v>
      </c>
      <c r="E253" s="250">
        <f t="shared" si="21"/>
        <v>24</v>
      </c>
      <c r="F253" s="250">
        <f t="shared" si="22"/>
        <v>5</v>
      </c>
      <c r="G253" s="250">
        <f t="shared" si="23"/>
        <v>2</v>
      </c>
      <c r="H253" s="251">
        <f>4*D253*'[3]Base Costs'!$B$7</f>
        <v>37474.591610017975</v>
      </c>
      <c r="I253" s="252">
        <f>4*IF(E253&lt;=3,E253*'[3]Base Costs'!$B$8,IF(F253&lt;=3,F253*'[3]Base Costs'!$B$9,'[3]Base Costs'!$B$10*G253))</f>
        <v>8800</v>
      </c>
      <c r="J253" s="253">
        <f>C253*'[3]Base Costs'!$B$6</f>
        <v>47.893502540678284</v>
      </c>
      <c r="K253" s="250">
        <f t="shared" si="24"/>
        <v>6</v>
      </c>
      <c r="L253" s="250">
        <f t="shared" si="25"/>
        <v>2</v>
      </c>
      <c r="M253" s="250">
        <f t="shared" si="26"/>
        <v>1</v>
      </c>
      <c r="N253" s="251">
        <f>4*J253*'[3]Base Costs'!$B$7</f>
        <v>9518.5462689445667</v>
      </c>
      <c r="O253" s="252">
        <f>4*IF(K253&lt;=3,K253*'[3]Base Costs'!$B$8,IF(L253&lt;=3,L253*'[3]Base Costs'!$B$9,'[3]Base Costs'!$B$10*M253))</f>
        <v>2800</v>
      </c>
      <c r="P253" s="252">
        <f>4*C253*'[3]Base Costs'!$B$11</f>
        <v>37711.419323368726</v>
      </c>
      <c r="Q253">
        <f>'[3]Base Costs'!$B$13+'[3]Base Costs'!$B$14</f>
        <v>414</v>
      </c>
      <c r="R253" s="239">
        <f>'[3]Base Costs'!$D$2</f>
        <v>1105.3024868650327</v>
      </c>
      <c r="S253" s="254">
        <f t="shared" si="27"/>
        <v>13837.848755809599</v>
      </c>
    </row>
    <row r="254" spans="1:19" x14ac:dyDescent="0.25">
      <c r="A254" s="248" t="s">
        <v>1003</v>
      </c>
      <c r="B254" s="248" t="s">
        <v>885</v>
      </c>
      <c r="C254" s="249">
        <v>195.660479276713</v>
      </c>
      <c r="D254" s="250">
        <f>C254*'[3]Base Costs'!$B$5</f>
        <v>195.660479276713</v>
      </c>
      <c r="E254" s="250">
        <f t="shared" si="21"/>
        <v>25</v>
      </c>
      <c r="F254" s="250">
        <f t="shared" si="22"/>
        <v>5</v>
      </c>
      <c r="G254" s="250">
        <f t="shared" si="23"/>
        <v>2</v>
      </c>
      <c r="H254" s="251">
        <f>4*D254*'[3]Base Costs'!$B$7</f>
        <v>38886.346293371054</v>
      </c>
      <c r="I254" s="252">
        <f>4*IF(E254&lt;=3,E254*'[3]Base Costs'!$B$8,IF(F254&lt;=3,F254*'[3]Base Costs'!$B$9,'[3]Base Costs'!$B$10*G254))</f>
        <v>8800</v>
      </c>
      <c r="J254" s="253">
        <f>C254*'[3]Base Costs'!$B$6</f>
        <v>49.697761736285102</v>
      </c>
      <c r="K254" s="250">
        <f t="shared" si="24"/>
        <v>7</v>
      </c>
      <c r="L254" s="250">
        <f t="shared" si="25"/>
        <v>2</v>
      </c>
      <c r="M254" s="250">
        <f t="shared" si="26"/>
        <v>1</v>
      </c>
      <c r="N254" s="251">
        <f>4*J254*'[3]Base Costs'!$B$7</f>
        <v>9877.1319585162473</v>
      </c>
      <c r="O254" s="252">
        <f>4*IF(K254&lt;=3,K254*'[3]Base Costs'!$B$8,IF(L254&lt;=3,L254*'[3]Base Costs'!$B$9,'[3]Base Costs'!$B$10*M254))</f>
        <v>2800</v>
      </c>
      <c r="P254" s="252">
        <f>4*C254*'[3]Base Costs'!$B$11</f>
        <v>39132.095855342603</v>
      </c>
      <c r="Q254">
        <f>'[3]Base Costs'!$B$13+'[3]Base Costs'!$B$14</f>
        <v>414</v>
      </c>
      <c r="R254" s="239">
        <f>'[3]Base Costs'!$D$2</f>
        <v>1105.3024868650327</v>
      </c>
      <c r="S254" s="254">
        <f t="shared" si="27"/>
        <v>14196.434445381281</v>
      </c>
    </row>
    <row r="255" spans="1:19" x14ac:dyDescent="0.25">
      <c r="A255" s="248" t="s">
        <v>1003</v>
      </c>
      <c r="B255" s="248" t="s">
        <v>886</v>
      </c>
      <c r="C255" s="249">
        <v>103.86332665481439</v>
      </c>
      <c r="D255" s="250">
        <f>C255*'[3]Base Costs'!$B$5</f>
        <v>103.86332665481439</v>
      </c>
      <c r="E255" s="250">
        <f t="shared" si="21"/>
        <v>13</v>
      </c>
      <c r="F255" s="250">
        <f t="shared" si="22"/>
        <v>3</v>
      </c>
      <c r="G255" s="250">
        <f t="shared" si="23"/>
        <v>1</v>
      </c>
      <c r="H255" s="251">
        <f>4*D255*'[3]Base Costs'!$B$7</f>
        <v>20642.212992684432</v>
      </c>
      <c r="I255" s="252">
        <f>4*IF(E255&lt;=3,E255*'[3]Base Costs'!$B$8,IF(F255&lt;=3,F255*'[3]Base Costs'!$B$9,'[3]Base Costs'!$B$10*G255))</f>
        <v>4200</v>
      </c>
      <c r="J255" s="253">
        <f>C255*'[3]Base Costs'!$B$6</f>
        <v>26.381284970322856</v>
      </c>
      <c r="K255" s="250">
        <f t="shared" si="24"/>
        <v>4</v>
      </c>
      <c r="L255" s="250">
        <f t="shared" si="25"/>
        <v>1</v>
      </c>
      <c r="M255" s="250">
        <f t="shared" si="26"/>
        <v>1</v>
      </c>
      <c r="N255" s="251">
        <f>4*J255*'[3]Base Costs'!$B$7</f>
        <v>5243.1221001418462</v>
      </c>
      <c r="O255" s="252">
        <f>4*IF(K255&lt;=3,K255*'[3]Base Costs'!$B$8,IF(L255&lt;=3,L255*'[3]Base Costs'!$B$9,'[3]Base Costs'!$B$10*M255))</f>
        <v>1400</v>
      </c>
      <c r="P255" s="252">
        <f>4*C255*'[3]Base Costs'!$B$11</f>
        <v>20772.665330962878</v>
      </c>
      <c r="Q255">
        <f>'[3]Base Costs'!$B$13+'[3]Base Costs'!$B$14</f>
        <v>414</v>
      </c>
      <c r="R255" s="239">
        <f>'[3]Base Costs'!$D$2</f>
        <v>1105.3024868650327</v>
      </c>
      <c r="S255" s="254">
        <f t="shared" si="27"/>
        <v>8162.4245870068789</v>
      </c>
    </row>
    <row r="256" spans="1:19" x14ac:dyDescent="0.25">
      <c r="A256" s="248" t="s">
        <v>1003</v>
      </c>
      <c r="B256" s="248" t="s">
        <v>887</v>
      </c>
      <c r="C256" s="249">
        <v>140.69015150153439</v>
      </c>
      <c r="D256" s="250">
        <f>C256*'[3]Base Costs'!$B$5</f>
        <v>140.69015150153439</v>
      </c>
      <c r="E256" s="250">
        <f t="shared" si="21"/>
        <v>18</v>
      </c>
      <c r="F256" s="250">
        <f t="shared" si="22"/>
        <v>4</v>
      </c>
      <c r="G256" s="250">
        <f t="shared" si="23"/>
        <v>1</v>
      </c>
      <c r="H256" s="251">
        <f>4*D256*'[3]Base Costs'!$B$7</f>
        <v>27961.323470020954</v>
      </c>
      <c r="I256" s="252">
        <f>4*IF(E256&lt;=3,E256*'[3]Base Costs'!$B$8,IF(F256&lt;=3,F256*'[3]Base Costs'!$B$9,'[3]Base Costs'!$B$10*G256))</f>
        <v>4400</v>
      </c>
      <c r="J256" s="253">
        <f>C256*'[3]Base Costs'!$B$6</f>
        <v>35.735298481389734</v>
      </c>
      <c r="K256" s="250">
        <f t="shared" si="24"/>
        <v>5</v>
      </c>
      <c r="L256" s="250">
        <f t="shared" si="25"/>
        <v>1</v>
      </c>
      <c r="M256" s="250">
        <f t="shared" si="26"/>
        <v>1</v>
      </c>
      <c r="N256" s="251">
        <f>4*J256*'[3]Base Costs'!$B$7</f>
        <v>7102.1761613853223</v>
      </c>
      <c r="O256" s="252">
        <f>4*IF(K256&lt;=3,K256*'[3]Base Costs'!$B$8,IF(L256&lt;=3,L256*'[3]Base Costs'!$B$9,'[3]Base Costs'!$B$10*M256))</f>
        <v>1400</v>
      </c>
      <c r="P256" s="252">
        <f>4*C256*'[3]Base Costs'!$B$11</f>
        <v>28138.030300306877</v>
      </c>
      <c r="Q256">
        <f>'[3]Base Costs'!$B$13+'[3]Base Costs'!$B$14</f>
        <v>414</v>
      </c>
      <c r="R256" s="239">
        <f>'[3]Base Costs'!$D$2</f>
        <v>1105.3024868650327</v>
      </c>
      <c r="S256" s="254">
        <f t="shared" si="27"/>
        <v>10021.478648250355</v>
      </c>
    </row>
    <row r="257" spans="1:19" x14ac:dyDescent="0.25">
      <c r="A257" s="248" t="s">
        <v>1003</v>
      </c>
      <c r="B257" s="248" t="s">
        <v>888</v>
      </c>
      <c r="C257" s="249">
        <v>118.99983748000001</v>
      </c>
      <c r="D257" s="250">
        <f>C257*'[3]Base Costs'!$B$5</f>
        <v>118.99983748000001</v>
      </c>
      <c r="E257" s="250">
        <f t="shared" si="21"/>
        <v>15</v>
      </c>
      <c r="F257" s="250">
        <f t="shared" si="22"/>
        <v>3</v>
      </c>
      <c r="G257" s="250">
        <f t="shared" si="23"/>
        <v>1</v>
      </c>
      <c r="H257" s="251">
        <f>4*D257*'[3]Base Costs'!$B$7</f>
        <v>23650.503700125126</v>
      </c>
      <c r="I257" s="252">
        <f>4*IF(E257&lt;=3,E257*'[3]Base Costs'!$B$8,IF(F257&lt;=3,F257*'[3]Base Costs'!$B$9,'[3]Base Costs'!$B$10*G257))</f>
        <v>4200</v>
      </c>
      <c r="J257" s="253">
        <f>C257*'[3]Base Costs'!$B$6</f>
        <v>30.225958719920005</v>
      </c>
      <c r="K257" s="250">
        <f t="shared" si="24"/>
        <v>4</v>
      </c>
      <c r="L257" s="250">
        <f t="shared" si="25"/>
        <v>1</v>
      </c>
      <c r="M257" s="250">
        <f t="shared" si="26"/>
        <v>1</v>
      </c>
      <c r="N257" s="251">
        <f>4*J257*'[3]Base Costs'!$B$7</f>
        <v>6007.2279398317824</v>
      </c>
      <c r="O257" s="252">
        <f>4*IF(K257&lt;=3,K257*'[3]Base Costs'!$B$8,IF(L257&lt;=3,L257*'[3]Base Costs'!$B$9,'[3]Base Costs'!$B$10*M257))</f>
        <v>1400</v>
      </c>
      <c r="P257" s="252">
        <f>4*C257*'[3]Base Costs'!$B$11</f>
        <v>23799.967496000001</v>
      </c>
      <c r="Q257">
        <f>'[3]Base Costs'!$B$13+'[3]Base Costs'!$B$14</f>
        <v>414</v>
      </c>
      <c r="R257" s="239">
        <f>'[3]Base Costs'!$D$2</f>
        <v>1105.3024868650327</v>
      </c>
      <c r="S257" s="254">
        <f t="shared" si="27"/>
        <v>8926.530426696816</v>
      </c>
    </row>
    <row r="258" spans="1:19" x14ac:dyDescent="0.25">
      <c r="A258" s="248" t="s">
        <v>1003</v>
      </c>
      <c r="B258" s="248" t="s">
        <v>889</v>
      </c>
      <c r="C258" s="249">
        <v>157.26655432876356</v>
      </c>
      <c r="D258" s="250">
        <f>C258*'[3]Base Costs'!$B$5</f>
        <v>157.26655432876356</v>
      </c>
      <c r="E258" s="250">
        <f t="shared" si="21"/>
        <v>20</v>
      </c>
      <c r="F258" s="250">
        <f t="shared" si="22"/>
        <v>4</v>
      </c>
      <c r="G258" s="250">
        <f t="shared" si="23"/>
        <v>1</v>
      </c>
      <c r="H258" s="251">
        <f>4*D258*'[3]Base Costs'!$B$7</f>
        <v>31255.784073515788</v>
      </c>
      <c r="I258" s="252">
        <f>4*IF(E258&lt;=3,E258*'[3]Base Costs'!$B$8,IF(F258&lt;=3,F258*'[3]Base Costs'!$B$9,'[3]Base Costs'!$B$10*G258))</f>
        <v>4400</v>
      </c>
      <c r="J258" s="253">
        <f>C258*'[3]Base Costs'!$B$6</f>
        <v>39.945704799505947</v>
      </c>
      <c r="K258" s="250">
        <f t="shared" si="24"/>
        <v>5</v>
      </c>
      <c r="L258" s="250">
        <f t="shared" si="25"/>
        <v>1</v>
      </c>
      <c r="M258" s="250">
        <f t="shared" si="26"/>
        <v>1</v>
      </c>
      <c r="N258" s="251">
        <f>4*J258*'[3]Base Costs'!$B$7</f>
        <v>7938.969154673011</v>
      </c>
      <c r="O258" s="252">
        <f>4*IF(K258&lt;=3,K258*'[3]Base Costs'!$B$8,IF(L258&lt;=3,L258*'[3]Base Costs'!$B$9,'[3]Base Costs'!$B$10*M258))</f>
        <v>1400</v>
      </c>
      <c r="P258" s="252">
        <f>4*C258*'[3]Base Costs'!$B$11</f>
        <v>31453.310865752712</v>
      </c>
      <c r="Q258">
        <f>'[3]Base Costs'!$B$13+'[3]Base Costs'!$B$14</f>
        <v>414</v>
      </c>
      <c r="R258" s="239">
        <f>'[3]Base Costs'!$D$2</f>
        <v>1105.3024868650327</v>
      </c>
      <c r="S258" s="254">
        <f t="shared" si="27"/>
        <v>10858.271641538044</v>
      </c>
    </row>
    <row r="259" spans="1:19" x14ac:dyDescent="0.25">
      <c r="A259" s="248" t="s">
        <v>1003</v>
      </c>
      <c r="B259" s="248" t="s">
        <v>890</v>
      </c>
      <c r="C259" s="249">
        <v>322.27632811570192</v>
      </c>
      <c r="D259" s="250">
        <f>C259*'[3]Base Costs'!$B$5</f>
        <v>322.27632811570192</v>
      </c>
      <c r="E259" s="250">
        <f t="shared" si="21"/>
        <v>41</v>
      </c>
      <c r="F259" s="250">
        <f t="shared" si="22"/>
        <v>9</v>
      </c>
      <c r="G259" s="250">
        <f t="shared" si="23"/>
        <v>3</v>
      </c>
      <c r="H259" s="251">
        <f>4*D259*'[3]Base Costs'!$B$7</f>
        <v>64050.48655502707</v>
      </c>
      <c r="I259" s="252">
        <f>4*IF(E259&lt;=3,E259*'[3]Base Costs'!$B$8,IF(F259&lt;=3,F259*'[3]Base Costs'!$B$9,'[3]Base Costs'!$B$10*G259))</f>
        <v>13200</v>
      </c>
      <c r="J259" s="253">
        <f>C259*'[3]Base Costs'!$B$6</f>
        <v>81.858187341388287</v>
      </c>
      <c r="K259" s="250">
        <f t="shared" si="24"/>
        <v>11</v>
      </c>
      <c r="L259" s="250">
        <f t="shared" si="25"/>
        <v>3</v>
      </c>
      <c r="M259" s="250">
        <f t="shared" si="26"/>
        <v>1</v>
      </c>
      <c r="N259" s="251">
        <f>4*J259*'[3]Base Costs'!$B$7</f>
        <v>16268.823584976875</v>
      </c>
      <c r="O259" s="252">
        <f>4*IF(K259&lt;=3,K259*'[3]Base Costs'!$B$8,IF(L259&lt;=3,L259*'[3]Base Costs'!$B$9,'[3]Base Costs'!$B$10*M259))</f>
        <v>4200</v>
      </c>
      <c r="P259" s="252">
        <f>4*C259*'[3]Base Costs'!$B$11</f>
        <v>64455.265623140382</v>
      </c>
      <c r="Q259">
        <f>'[3]Base Costs'!$B$13+'[3]Base Costs'!$B$14</f>
        <v>414</v>
      </c>
      <c r="R259" s="239">
        <f>'[3]Base Costs'!$D$2</f>
        <v>1105.3024868650327</v>
      </c>
      <c r="S259" s="254">
        <f t="shared" si="27"/>
        <v>21988.126071841907</v>
      </c>
    </row>
    <row r="260" spans="1:19" x14ac:dyDescent="0.25">
      <c r="A260" s="248" t="s">
        <v>1003</v>
      </c>
      <c r="B260" s="248" t="s">
        <v>891</v>
      </c>
      <c r="C260" s="249">
        <v>304.42153626976796</v>
      </c>
      <c r="D260" s="250">
        <f>C260*'[3]Base Costs'!$B$5</f>
        <v>304.42153626976796</v>
      </c>
      <c r="E260" s="250">
        <f t="shared" ref="E260:E323" si="28">ROUNDUP(D260/8,0)</f>
        <v>39</v>
      </c>
      <c r="F260" s="250">
        <f t="shared" ref="F260:F323" si="29">ROUNDUP(D260/40,0)</f>
        <v>8</v>
      </c>
      <c r="G260" s="250">
        <f t="shared" ref="G260:G323" si="30">ROUNDUP(D260/(40*4),0)</f>
        <v>2</v>
      </c>
      <c r="H260" s="251">
        <f>4*D260*'[3]Base Costs'!$B$7</f>
        <v>60501.95380439877</v>
      </c>
      <c r="I260" s="252">
        <f>4*IF(E260&lt;=3,E260*'[3]Base Costs'!$B$8,IF(F260&lt;=3,F260*'[3]Base Costs'!$B$9,'[3]Base Costs'!$B$10*G260))</f>
        <v>8800</v>
      </c>
      <c r="J260" s="253">
        <f>C260*'[3]Base Costs'!$B$6</f>
        <v>77.32307021252106</v>
      </c>
      <c r="K260" s="250">
        <f t="shared" ref="K260:K323" si="31">ROUNDUP(J260/8,0)</f>
        <v>10</v>
      </c>
      <c r="L260" s="250">
        <f t="shared" ref="L260:L323" si="32">ROUNDUP(J260/40,0)</f>
        <v>2</v>
      </c>
      <c r="M260" s="250">
        <f t="shared" ref="M260:M323" si="33">ROUNDUP(J260/(40*4),0)</f>
        <v>1</v>
      </c>
      <c r="N260" s="251">
        <f>4*J260*'[3]Base Costs'!$B$7</f>
        <v>15367.496266317288</v>
      </c>
      <c r="O260" s="252">
        <f>4*IF(K260&lt;=3,K260*'[3]Base Costs'!$B$8,IF(L260&lt;=3,L260*'[3]Base Costs'!$B$9,'[3]Base Costs'!$B$10*M260))</f>
        <v>2800</v>
      </c>
      <c r="P260" s="252">
        <f>4*C260*'[3]Base Costs'!$B$11</f>
        <v>60884.307253953593</v>
      </c>
      <c r="Q260">
        <f>'[3]Base Costs'!$B$13+'[3]Base Costs'!$B$14</f>
        <v>414</v>
      </c>
      <c r="R260" s="239">
        <f>'[3]Base Costs'!$D$2</f>
        <v>1105.3024868650327</v>
      </c>
      <c r="S260" s="254">
        <f t="shared" ref="S260:S323" si="34">R260+Q260+N260+O260</f>
        <v>19686.79875318232</v>
      </c>
    </row>
    <row r="261" spans="1:19" x14ac:dyDescent="0.25">
      <c r="A261" s="248" t="s">
        <v>1003</v>
      </c>
      <c r="B261" s="248" t="s">
        <v>892</v>
      </c>
      <c r="C261" s="249">
        <v>113.16338214717844</v>
      </c>
      <c r="D261" s="250">
        <f>C261*'[3]Base Costs'!$B$5</f>
        <v>113.16338214717844</v>
      </c>
      <c r="E261" s="250">
        <f t="shared" si="28"/>
        <v>15</v>
      </c>
      <c r="F261" s="250">
        <f t="shared" si="29"/>
        <v>3</v>
      </c>
      <c r="G261" s="250">
        <f t="shared" si="30"/>
        <v>1</v>
      </c>
      <c r="H261" s="251">
        <f>4*D261*'[3]Base Costs'!$B$7</f>
        <v>22490.543221458836</v>
      </c>
      <c r="I261" s="252">
        <f>4*IF(E261&lt;=3,E261*'[3]Base Costs'!$B$8,IF(F261&lt;=3,F261*'[3]Base Costs'!$B$9,'[3]Base Costs'!$B$10*G261))</f>
        <v>4200</v>
      </c>
      <c r="J261" s="253">
        <f>C261*'[3]Base Costs'!$B$6</f>
        <v>28.743499065383325</v>
      </c>
      <c r="K261" s="250">
        <f t="shared" si="31"/>
        <v>4</v>
      </c>
      <c r="L261" s="250">
        <f t="shared" si="32"/>
        <v>1</v>
      </c>
      <c r="M261" s="250">
        <f t="shared" si="33"/>
        <v>1</v>
      </c>
      <c r="N261" s="251">
        <f>4*J261*'[3]Base Costs'!$B$7</f>
        <v>5712.5979782505447</v>
      </c>
      <c r="O261" s="252">
        <f>4*IF(K261&lt;=3,K261*'[3]Base Costs'!$B$8,IF(L261&lt;=3,L261*'[3]Base Costs'!$B$9,'[3]Base Costs'!$B$10*M261))</f>
        <v>1400</v>
      </c>
      <c r="P261" s="252">
        <f>4*C261*'[3]Base Costs'!$B$11</f>
        <v>22632.676429435687</v>
      </c>
      <c r="Q261">
        <f>'[3]Base Costs'!$B$13+'[3]Base Costs'!$B$14</f>
        <v>414</v>
      </c>
      <c r="R261" s="239">
        <f>'[3]Base Costs'!$D$2</f>
        <v>1105.3024868650327</v>
      </c>
      <c r="S261" s="254">
        <f t="shared" si="34"/>
        <v>8631.9004651155774</v>
      </c>
    </row>
    <row r="262" spans="1:19" x14ac:dyDescent="0.25">
      <c r="A262" s="248" t="s">
        <v>1003</v>
      </c>
      <c r="B262" s="248" t="s">
        <v>893</v>
      </c>
      <c r="C262" s="249">
        <v>76.934951075436913</v>
      </c>
      <c r="D262" s="250">
        <f>C262*'[3]Base Costs'!$B$5</f>
        <v>76.934951075436913</v>
      </c>
      <c r="E262" s="250">
        <f t="shared" si="28"/>
        <v>10</v>
      </c>
      <c r="F262" s="250">
        <f t="shared" si="29"/>
        <v>2</v>
      </c>
      <c r="G262" s="250">
        <f t="shared" si="30"/>
        <v>1</v>
      </c>
      <c r="H262" s="251">
        <f>4*D262*'[3]Base Costs'!$B$7</f>
        <v>15290.359916536636</v>
      </c>
      <c r="I262" s="252">
        <f>4*IF(E262&lt;=3,E262*'[3]Base Costs'!$B$8,IF(F262&lt;=3,F262*'[3]Base Costs'!$B$9,'[3]Base Costs'!$B$10*G262))</f>
        <v>2800</v>
      </c>
      <c r="J262" s="253">
        <f>C262*'[3]Base Costs'!$B$6</f>
        <v>19.541477573160975</v>
      </c>
      <c r="K262" s="250">
        <f t="shared" si="31"/>
        <v>3</v>
      </c>
      <c r="L262" s="250">
        <f t="shared" si="32"/>
        <v>1</v>
      </c>
      <c r="M262" s="250">
        <f t="shared" si="33"/>
        <v>1</v>
      </c>
      <c r="N262" s="251">
        <f>4*J262*'[3]Base Costs'!$B$7</f>
        <v>3883.7514188003056</v>
      </c>
      <c r="O262" s="252">
        <f>4*IF(K262&lt;=3,K262*'[3]Base Costs'!$B$8,IF(L262&lt;=3,L262*'[3]Base Costs'!$B$9,'[3]Base Costs'!$B$10*M262))</f>
        <v>1500</v>
      </c>
      <c r="P262" s="252">
        <f>4*C262*'[3]Base Costs'!$B$11</f>
        <v>15386.990215087382</v>
      </c>
      <c r="Q262">
        <f>'[3]Base Costs'!$B$13+'[3]Base Costs'!$B$14</f>
        <v>414</v>
      </c>
      <c r="R262" s="239">
        <f>'[3]Base Costs'!$D$2</f>
        <v>1105.3024868650327</v>
      </c>
      <c r="S262" s="254">
        <f t="shared" si="34"/>
        <v>6903.0539056653379</v>
      </c>
    </row>
    <row r="263" spans="1:19" x14ac:dyDescent="0.25">
      <c r="A263" s="248" t="s">
        <v>1003</v>
      </c>
      <c r="B263" s="248" t="s">
        <v>894</v>
      </c>
      <c r="C263" s="249">
        <v>90.016658421579308</v>
      </c>
      <c r="D263" s="250">
        <f>C263*'[3]Base Costs'!$B$5</f>
        <v>90.016658421579308</v>
      </c>
      <c r="E263" s="250">
        <f t="shared" si="28"/>
        <v>12</v>
      </c>
      <c r="F263" s="250">
        <f t="shared" si="29"/>
        <v>3</v>
      </c>
      <c r="G263" s="250">
        <f t="shared" si="30"/>
        <v>1</v>
      </c>
      <c r="H263" s="251">
        <f>4*D263*'[3]Base Costs'!$B$7</f>
        <v>17890.270761338361</v>
      </c>
      <c r="I263" s="252">
        <f>4*IF(E263&lt;=3,E263*'[3]Base Costs'!$B$8,IF(F263&lt;=3,F263*'[3]Base Costs'!$B$9,'[3]Base Costs'!$B$10*G263))</f>
        <v>4200</v>
      </c>
      <c r="J263" s="253">
        <f>C263*'[3]Base Costs'!$B$6</f>
        <v>22.864231239081146</v>
      </c>
      <c r="K263" s="250">
        <f t="shared" si="31"/>
        <v>3</v>
      </c>
      <c r="L263" s="250">
        <f t="shared" si="32"/>
        <v>1</v>
      </c>
      <c r="M263" s="250">
        <f t="shared" si="33"/>
        <v>1</v>
      </c>
      <c r="N263" s="251">
        <f>4*J263*'[3]Base Costs'!$B$7</f>
        <v>4544.1287733799436</v>
      </c>
      <c r="O263" s="252">
        <f>4*IF(K263&lt;=3,K263*'[3]Base Costs'!$B$8,IF(L263&lt;=3,L263*'[3]Base Costs'!$B$9,'[3]Base Costs'!$B$10*M263))</f>
        <v>1500</v>
      </c>
      <c r="P263" s="252">
        <f>4*C263*'[3]Base Costs'!$B$11</f>
        <v>18003.331684315861</v>
      </c>
      <c r="Q263">
        <f>'[3]Base Costs'!$B$13+'[3]Base Costs'!$B$14</f>
        <v>414</v>
      </c>
      <c r="R263" s="239">
        <f>'[3]Base Costs'!$D$2</f>
        <v>1105.3024868650327</v>
      </c>
      <c r="S263" s="254">
        <f t="shared" si="34"/>
        <v>7563.4312602449763</v>
      </c>
    </row>
    <row r="264" spans="1:19" x14ac:dyDescent="0.25">
      <c r="A264" s="248" t="s">
        <v>1003</v>
      </c>
      <c r="B264" s="248" t="s">
        <v>895</v>
      </c>
      <c r="C264" s="249">
        <v>210.43355266449706</v>
      </c>
      <c r="D264" s="250">
        <f>C264*'[3]Base Costs'!$B$5</f>
        <v>210.43355266449706</v>
      </c>
      <c r="E264" s="250">
        <f t="shared" si="28"/>
        <v>27</v>
      </c>
      <c r="F264" s="250">
        <f t="shared" si="29"/>
        <v>6</v>
      </c>
      <c r="G264" s="250">
        <f t="shared" si="30"/>
        <v>2</v>
      </c>
      <c r="H264" s="251">
        <f>4*D264*'[3]Base Costs'!$B$7</f>
        <v>41822.405990752806</v>
      </c>
      <c r="I264" s="252">
        <f>4*IF(E264&lt;=3,E264*'[3]Base Costs'!$B$8,IF(F264&lt;=3,F264*'[3]Base Costs'!$B$9,'[3]Base Costs'!$B$10*G264))</f>
        <v>8800</v>
      </c>
      <c r="J264" s="253">
        <f>C264*'[3]Base Costs'!$B$6</f>
        <v>53.450122376782254</v>
      </c>
      <c r="K264" s="250">
        <f t="shared" si="31"/>
        <v>7</v>
      </c>
      <c r="L264" s="250">
        <f t="shared" si="32"/>
        <v>2</v>
      </c>
      <c r="M264" s="250">
        <f t="shared" si="33"/>
        <v>1</v>
      </c>
      <c r="N264" s="251">
        <f>4*J264*'[3]Base Costs'!$B$7</f>
        <v>10622.891121651213</v>
      </c>
      <c r="O264" s="252">
        <f>4*IF(K264&lt;=3,K264*'[3]Base Costs'!$B$8,IF(L264&lt;=3,L264*'[3]Base Costs'!$B$9,'[3]Base Costs'!$B$10*M264))</f>
        <v>2800</v>
      </c>
      <c r="P264" s="252">
        <f>4*C264*'[3]Base Costs'!$B$11</f>
        <v>42086.710532899415</v>
      </c>
      <c r="Q264">
        <f>'[3]Base Costs'!$B$13+'[3]Base Costs'!$B$14</f>
        <v>414</v>
      </c>
      <c r="R264" s="239">
        <f>'[3]Base Costs'!$D$2</f>
        <v>1105.3024868650327</v>
      </c>
      <c r="S264" s="254">
        <f t="shared" si="34"/>
        <v>14942.193608516245</v>
      </c>
    </row>
    <row r="265" spans="1:19" x14ac:dyDescent="0.25">
      <c r="A265" s="248" t="s">
        <v>1003</v>
      </c>
      <c r="B265" s="248" t="s">
        <v>896</v>
      </c>
      <c r="C265" s="249">
        <v>76.84829452797004</v>
      </c>
      <c r="D265" s="250">
        <f>C265*'[3]Base Costs'!$B$5</f>
        <v>76.84829452797004</v>
      </c>
      <c r="E265" s="250">
        <f t="shared" si="28"/>
        <v>10</v>
      </c>
      <c r="F265" s="250">
        <f t="shared" si="29"/>
        <v>2</v>
      </c>
      <c r="G265" s="250">
        <f t="shared" si="30"/>
        <v>1</v>
      </c>
      <c r="H265" s="251">
        <f>4*D265*'[3]Base Costs'!$B$7</f>
        <v>15273.137447666881</v>
      </c>
      <c r="I265" s="252">
        <f>4*IF(E265&lt;=3,E265*'[3]Base Costs'!$B$8,IF(F265&lt;=3,F265*'[3]Base Costs'!$B$9,'[3]Base Costs'!$B$10*G265))</f>
        <v>2800</v>
      </c>
      <c r="J265" s="253">
        <f>C265*'[3]Base Costs'!$B$6</f>
        <v>19.51946681010439</v>
      </c>
      <c r="K265" s="250">
        <f t="shared" si="31"/>
        <v>3</v>
      </c>
      <c r="L265" s="250">
        <f t="shared" si="32"/>
        <v>1</v>
      </c>
      <c r="M265" s="250">
        <f t="shared" si="33"/>
        <v>1</v>
      </c>
      <c r="N265" s="251">
        <f>4*J265*'[3]Base Costs'!$B$7</f>
        <v>3879.3769117073875</v>
      </c>
      <c r="O265" s="252">
        <f>4*IF(K265&lt;=3,K265*'[3]Base Costs'!$B$8,IF(L265&lt;=3,L265*'[3]Base Costs'!$B$9,'[3]Base Costs'!$B$10*M265))</f>
        <v>1500</v>
      </c>
      <c r="P265" s="252">
        <f>4*C265*'[3]Base Costs'!$B$11</f>
        <v>15369.658905594008</v>
      </c>
      <c r="Q265">
        <f>'[3]Base Costs'!$B$13+'[3]Base Costs'!$B$14</f>
        <v>414</v>
      </c>
      <c r="R265" s="239">
        <f>'[3]Base Costs'!$D$2</f>
        <v>1105.3024868650327</v>
      </c>
      <c r="S265" s="254">
        <f t="shared" si="34"/>
        <v>6898.6793985724198</v>
      </c>
    </row>
    <row r="266" spans="1:19" x14ac:dyDescent="0.25">
      <c r="A266" s="248" t="s">
        <v>1003</v>
      </c>
      <c r="B266" s="248" t="s">
        <v>897</v>
      </c>
      <c r="C266" s="249">
        <v>221.82226734534515</v>
      </c>
      <c r="D266" s="250">
        <f>C266*'[3]Base Costs'!$B$5</f>
        <v>221.82226734534515</v>
      </c>
      <c r="E266" s="250">
        <f t="shared" si="28"/>
        <v>28</v>
      </c>
      <c r="F266" s="250">
        <f t="shared" si="29"/>
        <v>6</v>
      </c>
      <c r="G266" s="250">
        <f t="shared" si="30"/>
        <v>2</v>
      </c>
      <c r="H266" s="251">
        <f>4*D266*'[3]Base Costs'!$B$7</f>
        <v>44085.844701283284</v>
      </c>
      <c r="I266" s="252">
        <f>4*IF(E266&lt;=3,E266*'[3]Base Costs'!$B$8,IF(F266&lt;=3,F266*'[3]Base Costs'!$B$9,'[3]Base Costs'!$B$10*G266))</f>
        <v>8800</v>
      </c>
      <c r="J266" s="253">
        <f>C266*'[3]Base Costs'!$B$6</f>
        <v>56.34285590571767</v>
      </c>
      <c r="K266" s="250">
        <f t="shared" si="31"/>
        <v>8</v>
      </c>
      <c r="L266" s="250">
        <f t="shared" si="32"/>
        <v>2</v>
      </c>
      <c r="M266" s="250">
        <f t="shared" si="33"/>
        <v>1</v>
      </c>
      <c r="N266" s="251">
        <f>4*J266*'[3]Base Costs'!$B$7</f>
        <v>11197.804554125954</v>
      </c>
      <c r="O266" s="252">
        <f>4*IF(K266&lt;=3,K266*'[3]Base Costs'!$B$8,IF(L266&lt;=3,L266*'[3]Base Costs'!$B$9,'[3]Base Costs'!$B$10*M266))</f>
        <v>2800</v>
      </c>
      <c r="P266" s="252">
        <f>4*C266*'[3]Base Costs'!$B$11</f>
        <v>44364.453469069034</v>
      </c>
      <c r="Q266">
        <f>'[3]Base Costs'!$B$13+'[3]Base Costs'!$B$14</f>
        <v>414</v>
      </c>
      <c r="R266" s="239">
        <f>'[3]Base Costs'!$D$2</f>
        <v>1105.3024868650327</v>
      </c>
      <c r="S266" s="254">
        <f t="shared" si="34"/>
        <v>15517.107040990988</v>
      </c>
    </row>
    <row r="267" spans="1:19" x14ac:dyDescent="0.25">
      <c r="A267" s="248" t="s">
        <v>1003</v>
      </c>
      <c r="B267" s="248" t="s">
        <v>898</v>
      </c>
      <c r="C267" s="249">
        <v>325.47624526331674</v>
      </c>
      <c r="D267" s="250">
        <f>C267*'[3]Base Costs'!$B$5</f>
        <v>325.47624526331674</v>
      </c>
      <c r="E267" s="250">
        <f t="shared" si="28"/>
        <v>41</v>
      </c>
      <c r="F267" s="250">
        <f t="shared" si="29"/>
        <v>9</v>
      </c>
      <c r="G267" s="250">
        <f t="shared" si="30"/>
        <v>3</v>
      </c>
      <c r="H267" s="251">
        <f>4*D267*'[3]Base Costs'!$B$7</f>
        <v>64686.450888612635</v>
      </c>
      <c r="I267" s="252">
        <f>4*IF(E267&lt;=3,E267*'[3]Base Costs'!$B$8,IF(F267&lt;=3,F267*'[3]Base Costs'!$B$9,'[3]Base Costs'!$B$10*G267))</f>
        <v>13200</v>
      </c>
      <c r="J267" s="253">
        <f>C267*'[3]Base Costs'!$B$6</f>
        <v>82.670966296882455</v>
      </c>
      <c r="K267" s="250">
        <f t="shared" si="31"/>
        <v>11</v>
      </c>
      <c r="L267" s="250">
        <f t="shared" si="32"/>
        <v>3</v>
      </c>
      <c r="M267" s="250">
        <f t="shared" si="33"/>
        <v>1</v>
      </c>
      <c r="N267" s="251">
        <f>4*J267*'[3]Base Costs'!$B$7</f>
        <v>16430.358525707608</v>
      </c>
      <c r="O267" s="252">
        <f>4*IF(K267&lt;=3,K267*'[3]Base Costs'!$B$8,IF(L267&lt;=3,L267*'[3]Base Costs'!$B$9,'[3]Base Costs'!$B$10*M267))</f>
        <v>4200</v>
      </c>
      <c r="P267" s="252">
        <f>4*C267*'[3]Base Costs'!$B$11</f>
        <v>65095.249052663348</v>
      </c>
      <c r="Q267">
        <f>'[3]Base Costs'!$B$13+'[3]Base Costs'!$B$14</f>
        <v>414</v>
      </c>
      <c r="R267" s="239">
        <f>'[3]Base Costs'!$D$2</f>
        <v>1105.3024868650327</v>
      </c>
      <c r="S267" s="254">
        <f t="shared" si="34"/>
        <v>22149.66101257264</v>
      </c>
    </row>
    <row r="268" spans="1:19" x14ac:dyDescent="0.25">
      <c r="A268" s="248" t="s">
        <v>1003</v>
      </c>
      <c r="B268" s="248" t="s">
        <v>899</v>
      </c>
      <c r="C268" s="249">
        <v>242.11365247335951</v>
      </c>
      <c r="D268" s="250">
        <f>C268*'[3]Base Costs'!$B$5</f>
        <v>242.11365247335951</v>
      </c>
      <c r="E268" s="250">
        <f t="shared" si="28"/>
        <v>31</v>
      </c>
      <c r="F268" s="250">
        <f t="shared" si="29"/>
        <v>7</v>
      </c>
      <c r="G268" s="250">
        <f t="shared" si="30"/>
        <v>2</v>
      </c>
      <c r="H268" s="251">
        <f>4*D268*'[3]Base Costs'!$B$7</f>
        <v>48118.635747165368</v>
      </c>
      <c r="I268" s="252">
        <f>4*IF(E268&lt;=3,E268*'[3]Base Costs'!$B$8,IF(F268&lt;=3,F268*'[3]Base Costs'!$B$9,'[3]Base Costs'!$B$10*G268))</f>
        <v>8800</v>
      </c>
      <c r="J268" s="253">
        <f>C268*'[3]Base Costs'!$B$6</f>
        <v>61.496867728233319</v>
      </c>
      <c r="K268" s="250">
        <f t="shared" si="31"/>
        <v>8</v>
      </c>
      <c r="L268" s="250">
        <f t="shared" si="32"/>
        <v>2</v>
      </c>
      <c r="M268" s="250">
        <f t="shared" si="33"/>
        <v>1</v>
      </c>
      <c r="N268" s="251">
        <f>4*J268*'[3]Base Costs'!$B$7</f>
        <v>12222.133479780005</v>
      </c>
      <c r="O268" s="252">
        <f>4*IF(K268&lt;=3,K268*'[3]Base Costs'!$B$8,IF(L268&lt;=3,L268*'[3]Base Costs'!$B$9,'[3]Base Costs'!$B$10*M268))</f>
        <v>2800</v>
      </c>
      <c r="P268" s="252">
        <f>4*C268*'[3]Base Costs'!$B$11</f>
        <v>48422.730494671901</v>
      </c>
      <c r="Q268">
        <f>'[3]Base Costs'!$B$13+'[3]Base Costs'!$B$14</f>
        <v>414</v>
      </c>
      <c r="R268" s="239">
        <f>'[3]Base Costs'!$D$2</f>
        <v>1105.3024868650327</v>
      </c>
      <c r="S268" s="254">
        <f t="shared" si="34"/>
        <v>16541.435966645036</v>
      </c>
    </row>
    <row r="269" spans="1:19" x14ac:dyDescent="0.25">
      <c r="A269" s="248" t="s">
        <v>1003</v>
      </c>
      <c r="B269" s="248" t="s">
        <v>900</v>
      </c>
      <c r="C269" s="249">
        <v>58.002069254189578</v>
      </c>
      <c r="D269" s="250">
        <f>C269*'[3]Base Costs'!$B$5</f>
        <v>58.002069254189578</v>
      </c>
      <c r="E269" s="250">
        <f t="shared" si="28"/>
        <v>8</v>
      </c>
      <c r="F269" s="250">
        <f t="shared" si="29"/>
        <v>2</v>
      </c>
      <c r="G269" s="250">
        <f t="shared" si="30"/>
        <v>1</v>
      </c>
      <c r="H269" s="251">
        <f>4*D269*'[3]Base Costs'!$B$7</f>
        <v>11527.563251854655</v>
      </c>
      <c r="I269" s="252">
        <f>4*IF(E269&lt;=3,E269*'[3]Base Costs'!$B$8,IF(F269&lt;=3,F269*'[3]Base Costs'!$B$9,'[3]Base Costs'!$B$10*G269))</f>
        <v>2800</v>
      </c>
      <c r="J269" s="253">
        <f>C269*'[3]Base Costs'!$B$6</f>
        <v>14.732525590564153</v>
      </c>
      <c r="K269" s="250">
        <f t="shared" si="31"/>
        <v>2</v>
      </c>
      <c r="L269" s="250">
        <f t="shared" si="32"/>
        <v>1</v>
      </c>
      <c r="M269" s="250">
        <f t="shared" si="33"/>
        <v>1</v>
      </c>
      <c r="N269" s="251">
        <f>4*J269*'[3]Base Costs'!$B$7</f>
        <v>2928.0010659710824</v>
      </c>
      <c r="O269" s="252">
        <f>4*IF(K269&lt;=3,K269*'[3]Base Costs'!$B$8,IF(L269&lt;=3,L269*'[3]Base Costs'!$B$9,'[3]Base Costs'!$B$10*M269))</f>
        <v>1000</v>
      </c>
      <c r="P269" s="252">
        <f>4*C269*'[3]Base Costs'!$B$11</f>
        <v>11600.413850837916</v>
      </c>
      <c r="Q269">
        <f>'[3]Base Costs'!$B$13+'[3]Base Costs'!$B$14</f>
        <v>414</v>
      </c>
      <c r="R269" s="239">
        <f>'[3]Base Costs'!$D$2</f>
        <v>1105.3024868650327</v>
      </c>
      <c r="S269" s="254">
        <f t="shared" si="34"/>
        <v>5447.3035528361152</v>
      </c>
    </row>
    <row r="270" spans="1:19" x14ac:dyDescent="0.25">
      <c r="A270" s="248" t="s">
        <v>1003</v>
      </c>
      <c r="B270" s="248" t="s">
        <v>901</v>
      </c>
      <c r="C270" s="249">
        <v>282.41881699192578</v>
      </c>
      <c r="D270" s="250">
        <f>C270*'[3]Base Costs'!$B$5</f>
        <v>282.41881699192578</v>
      </c>
      <c r="E270" s="250">
        <f t="shared" si="28"/>
        <v>36</v>
      </c>
      <c r="F270" s="250">
        <f t="shared" si="29"/>
        <v>8</v>
      </c>
      <c r="G270" s="250">
        <f t="shared" si="30"/>
        <v>2</v>
      </c>
      <c r="H270" s="251">
        <f>4*D270*'[3]Base Costs'!$B$7</f>
        <v>56129.045364243306</v>
      </c>
      <c r="I270" s="252">
        <f>4*IF(E270&lt;=3,E270*'[3]Base Costs'!$B$8,IF(F270&lt;=3,F270*'[3]Base Costs'!$B$9,'[3]Base Costs'!$B$10*G270))</f>
        <v>8800</v>
      </c>
      <c r="J270" s="253">
        <f>C270*'[3]Base Costs'!$B$6</f>
        <v>71.734379515949144</v>
      </c>
      <c r="K270" s="250">
        <f t="shared" si="31"/>
        <v>9</v>
      </c>
      <c r="L270" s="250">
        <f t="shared" si="32"/>
        <v>2</v>
      </c>
      <c r="M270" s="250">
        <f t="shared" si="33"/>
        <v>1</v>
      </c>
      <c r="N270" s="251">
        <f>4*J270*'[3]Base Costs'!$B$7</f>
        <v>14256.777522517799</v>
      </c>
      <c r="O270" s="252">
        <f>4*IF(K270&lt;=3,K270*'[3]Base Costs'!$B$8,IF(L270&lt;=3,L270*'[3]Base Costs'!$B$9,'[3]Base Costs'!$B$10*M270))</f>
        <v>2800</v>
      </c>
      <c r="P270" s="252">
        <f>4*C270*'[3]Base Costs'!$B$11</f>
        <v>56483.763398385156</v>
      </c>
      <c r="Q270">
        <f>'[3]Base Costs'!$B$13+'[3]Base Costs'!$B$14</f>
        <v>414</v>
      </c>
      <c r="R270" s="239">
        <f>'[3]Base Costs'!$D$2</f>
        <v>1105.3024868650327</v>
      </c>
      <c r="S270" s="254">
        <f t="shared" si="34"/>
        <v>18576.080009382833</v>
      </c>
    </row>
    <row r="271" spans="1:19" x14ac:dyDescent="0.25">
      <c r="A271" s="248" t="s">
        <v>1003</v>
      </c>
      <c r="B271" s="248" t="s">
        <v>902</v>
      </c>
      <c r="C271" s="249">
        <v>113.46003224567677</v>
      </c>
      <c r="D271" s="250">
        <f>C271*'[3]Base Costs'!$B$5</f>
        <v>113.46003224567677</v>
      </c>
      <c r="E271" s="250">
        <f t="shared" si="28"/>
        <v>15</v>
      </c>
      <c r="F271" s="250">
        <f t="shared" si="29"/>
        <v>3</v>
      </c>
      <c r="G271" s="250">
        <f t="shared" si="30"/>
        <v>1</v>
      </c>
      <c r="H271" s="251">
        <f>4*D271*'[3]Base Costs'!$B$7</f>
        <v>22549.500648634788</v>
      </c>
      <c r="I271" s="252">
        <f>4*IF(E271&lt;=3,E271*'[3]Base Costs'!$B$8,IF(F271&lt;=3,F271*'[3]Base Costs'!$B$9,'[3]Base Costs'!$B$10*G271))</f>
        <v>4200</v>
      </c>
      <c r="J271" s="253">
        <f>C271*'[3]Base Costs'!$B$6</f>
        <v>28.818848190401901</v>
      </c>
      <c r="K271" s="250">
        <f t="shared" si="31"/>
        <v>4</v>
      </c>
      <c r="L271" s="250">
        <f t="shared" si="32"/>
        <v>1</v>
      </c>
      <c r="M271" s="250">
        <f t="shared" si="33"/>
        <v>1</v>
      </c>
      <c r="N271" s="251">
        <f>4*J271*'[3]Base Costs'!$B$7</f>
        <v>5727.5731647532366</v>
      </c>
      <c r="O271" s="252">
        <f>4*IF(K271&lt;=3,K271*'[3]Base Costs'!$B$8,IF(L271&lt;=3,L271*'[3]Base Costs'!$B$9,'[3]Base Costs'!$B$10*M271))</f>
        <v>1400</v>
      </c>
      <c r="P271" s="252">
        <f>4*C271*'[3]Base Costs'!$B$11</f>
        <v>22692.006449135355</v>
      </c>
      <c r="Q271">
        <f>'[3]Base Costs'!$B$13+'[3]Base Costs'!$B$14</f>
        <v>414</v>
      </c>
      <c r="R271" s="239">
        <f>'[3]Base Costs'!$D$2</f>
        <v>1105.3024868650327</v>
      </c>
      <c r="S271" s="254">
        <f t="shared" si="34"/>
        <v>8646.8756516182693</v>
      </c>
    </row>
    <row r="272" spans="1:19" x14ac:dyDescent="0.25">
      <c r="A272" s="248" t="s">
        <v>1003</v>
      </c>
      <c r="B272" s="248" t="s">
        <v>903</v>
      </c>
      <c r="C272" s="249">
        <v>317.23465535574741</v>
      </c>
      <c r="D272" s="250">
        <f>C272*'[3]Base Costs'!$B$5</f>
        <v>317.23465535574741</v>
      </c>
      <c r="E272" s="250">
        <f t="shared" si="28"/>
        <v>40</v>
      </c>
      <c r="F272" s="250">
        <f t="shared" si="29"/>
        <v>8</v>
      </c>
      <c r="G272" s="250">
        <f t="shared" si="30"/>
        <v>2</v>
      </c>
      <c r="H272" s="251">
        <f>4*D272*'[3]Base Costs'!$B$7</f>
        <v>63048.484344022669</v>
      </c>
      <c r="I272" s="252">
        <f>4*IF(E272&lt;=3,E272*'[3]Base Costs'!$B$8,IF(F272&lt;=3,F272*'[3]Base Costs'!$B$9,'[3]Base Costs'!$B$10*G272))</f>
        <v>8800</v>
      </c>
      <c r="J272" s="253">
        <f>C272*'[3]Base Costs'!$B$6</f>
        <v>80.577602460359842</v>
      </c>
      <c r="K272" s="250">
        <f t="shared" si="31"/>
        <v>11</v>
      </c>
      <c r="L272" s="250">
        <f t="shared" si="32"/>
        <v>3</v>
      </c>
      <c r="M272" s="250">
        <f t="shared" si="33"/>
        <v>1</v>
      </c>
      <c r="N272" s="251">
        <f>4*J272*'[3]Base Costs'!$B$7</f>
        <v>16014.315023381758</v>
      </c>
      <c r="O272" s="252">
        <f>4*IF(K272&lt;=3,K272*'[3]Base Costs'!$B$8,IF(L272&lt;=3,L272*'[3]Base Costs'!$B$9,'[3]Base Costs'!$B$10*M272))</f>
        <v>4200</v>
      </c>
      <c r="P272" s="252">
        <f>4*C272*'[3]Base Costs'!$B$11</f>
        <v>63446.931071149484</v>
      </c>
      <c r="Q272">
        <f>'[3]Base Costs'!$B$13+'[3]Base Costs'!$B$14</f>
        <v>414</v>
      </c>
      <c r="R272" s="239">
        <f>'[3]Base Costs'!$D$2</f>
        <v>1105.3024868650327</v>
      </c>
      <c r="S272" s="254">
        <f t="shared" si="34"/>
        <v>21733.61751024679</v>
      </c>
    </row>
    <row r="273" spans="1:19" x14ac:dyDescent="0.25">
      <c r="A273" s="248" t="s">
        <v>1003</v>
      </c>
      <c r="B273" s="248" t="s">
        <v>904</v>
      </c>
      <c r="C273" s="249">
        <v>89.039838860000003</v>
      </c>
      <c r="D273" s="250">
        <f>C273*'[3]Base Costs'!$B$5</f>
        <v>89.039838860000003</v>
      </c>
      <c r="E273" s="250">
        <f t="shared" si="28"/>
        <v>12</v>
      </c>
      <c r="F273" s="250">
        <f t="shared" si="29"/>
        <v>3</v>
      </c>
      <c r="G273" s="250">
        <f t="shared" si="30"/>
        <v>1</v>
      </c>
      <c r="H273" s="251">
        <f>4*D273*'[3]Base Costs'!$B$7</f>
        <v>17696.133734391842</v>
      </c>
      <c r="I273" s="252">
        <f>4*IF(E273&lt;=3,E273*'[3]Base Costs'!$B$8,IF(F273&lt;=3,F273*'[3]Base Costs'!$B$9,'[3]Base Costs'!$B$10*G273))</f>
        <v>4200</v>
      </c>
      <c r="J273" s="253">
        <f>C273*'[3]Base Costs'!$B$6</f>
        <v>22.61611907044</v>
      </c>
      <c r="K273" s="250">
        <f t="shared" si="31"/>
        <v>3</v>
      </c>
      <c r="L273" s="250">
        <f t="shared" si="32"/>
        <v>1</v>
      </c>
      <c r="M273" s="250">
        <f t="shared" si="33"/>
        <v>1</v>
      </c>
      <c r="N273" s="251">
        <f>4*J273*'[3]Base Costs'!$B$7</f>
        <v>4494.8179685355281</v>
      </c>
      <c r="O273" s="252">
        <f>4*IF(K273&lt;=3,K273*'[3]Base Costs'!$B$8,IF(L273&lt;=3,L273*'[3]Base Costs'!$B$9,'[3]Base Costs'!$B$10*M273))</f>
        <v>1500</v>
      </c>
      <c r="P273" s="252">
        <f>4*C273*'[3]Base Costs'!$B$11</f>
        <v>17807.967772</v>
      </c>
      <c r="Q273">
        <f>'[3]Base Costs'!$B$13+'[3]Base Costs'!$B$14</f>
        <v>414</v>
      </c>
      <c r="R273" s="239">
        <f>'[3]Base Costs'!$D$2</f>
        <v>1105.3024868650327</v>
      </c>
      <c r="S273" s="254">
        <f t="shared" si="34"/>
        <v>7514.1204554005608</v>
      </c>
    </row>
    <row r="274" spans="1:19" x14ac:dyDescent="0.25">
      <c r="A274" s="248" t="s">
        <v>1003</v>
      </c>
      <c r="B274" s="248" t="s">
        <v>905</v>
      </c>
      <c r="C274" s="249">
        <v>189.2220829766371</v>
      </c>
      <c r="D274" s="250">
        <f>C274*'[3]Base Costs'!$B$5</f>
        <v>189.2220829766371</v>
      </c>
      <c r="E274" s="250">
        <f t="shared" si="28"/>
        <v>24</v>
      </c>
      <c r="F274" s="250">
        <f t="shared" si="29"/>
        <v>5</v>
      </c>
      <c r="G274" s="250">
        <f t="shared" si="30"/>
        <v>2</v>
      </c>
      <c r="H274" s="251">
        <f>4*D274*'[3]Base Costs'!$B$7</f>
        <v>37606.75365910877</v>
      </c>
      <c r="I274" s="252">
        <f>4*IF(E274&lt;=3,E274*'[3]Base Costs'!$B$8,IF(F274&lt;=3,F274*'[3]Base Costs'!$B$9,'[3]Base Costs'!$B$10*G274))</f>
        <v>8800</v>
      </c>
      <c r="J274" s="253">
        <f>C274*'[3]Base Costs'!$B$6</f>
        <v>48.062409076065826</v>
      </c>
      <c r="K274" s="250">
        <f t="shared" si="31"/>
        <v>7</v>
      </c>
      <c r="L274" s="250">
        <f t="shared" si="32"/>
        <v>2</v>
      </c>
      <c r="M274" s="250">
        <f t="shared" si="33"/>
        <v>1</v>
      </c>
      <c r="N274" s="251">
        <f>4*J274*'[3]Base Costs'!$B$7</f>
        <v>9552.1154294136286</v>
      </c>
      <c r="O274" s="252">
        <f>4*IF(K274&lt;=3,K274*'[3]Base Costs'!$B$8,IF(L274&lt;=3,L274*'[3]Base Costs'!$B$9,'[3]Base Costs'!$B$10*M274))</f>
        <v>2800</v>
      </c>
      <c r="P274" s="252">
        <f>4*C274*'[3]Base Costs'!$B$11</f>
        <v>37844.416595327421</v>
      </c>
      <c r="Q274">
        <f>'[3]Base Costs'!$B$13+'[3]Base Costs'!$B$14</f>
        <v>414</v>
      </c>
      <c r="R274" s="239">
        <f>'[3]Base Costs'!$D$2</f>
        <v>1105.3024868650327</v>
      </c>
      <c r="S274" s="254">
        <f t="shared" si="34"/>
        <v>13871.41791627866</v>
      </c>
    </row>
    <row r="275" spans="1:19" x14ac:dyDescent="0.25">
      <c r="A275" s="248" t="s">
        <v>1003</v>
      </c>
      <c r="B275" s="248" t="s">
        <v>906</v>
      </c>
      <c r="C275" s="249">
        <v>284.74574064572533</v>
      </c>
      <c r="D275" s="250">
        <f>C275*'[3]Base Costs'!$B$5</f>
        <v>284.74574064572533</v>
      </c>
      <c r="E275" s="250">
        <f t="shared" si="28"/>
        <v>36</v>
      </c>
      <c r="F275" s="250">
        <f t="shared" si="29"/>
        <v>8</v>
      </c>
      <c r="G275" s="250">
        <f t="shared" si="30"/>
        <v>2</v>
      </c>
      <c r="H275" s="251">
        <f>4*D275*'[3]Base Costs'!$B$7</f>
        <v>56591.507478894047</v>
      </c>
      <c r="I275" s="252">
        <f>4*IF(E275&lt;=3,E275*'[3]Base Costs'!$B$8,IF(F275&lt;=3,F275*'[3]Base Costs'!$B$9,'[3]Base Costs'!$B$10*G275))</f>
        <v>8800</v>
      </c>
      <c r="J275" s="253">
        <f>C275*'[3]Base Costs'!$B$6</f>
        <v>72.325418124014234</v>
      </c>
      <c r="K275" s="250">
        <f t="shared" si="31"/>
        <v>10</v>
      </c>
      <c r="L275" s="250">
        <f t="shared" si="32"/>
        <v>2</v>
      </c>
      <c r="M275" s="250">
        <f t="shared" si="33"/>
        <v>1</v>
      </c>
      <c r="N275" s="251">
        <f>4*J275*'[3]Base Costs'!$B$7</f>
        <v>14374.242899639086</v>
      </c>
      <c r="O275" s="252">
        <f>4*IF(K275&lt;=3,K275*'[3]Base Costs'!$B$8,IF(L275&lt;=3,L275*'[3]Base Costs'!$B$9,'[3]Base Costs'!$B$10*M275))</f>
        <v>2800</v>
      </c>
      <c r="P275" s="252">
        <f>4*C275*'[3]Base Costs'!$B$11</f>
        <v>56949.148129145069</v>
      </c>
      <c r="Q275">
        <f>'[3]Base Costs'!$B$13+'[3]Base Costs'!$B$14</f>
        <v>414</v>
      </c>
      <c r="R275" s="239">
        <f>'[3]Base Costs'!$D$2</f>
        <v>1105.3024868650327</v>
      </c>
      <c r="S275" s="254">
        <f t="shared" si="34"/>
        <v>18693.54538650412</v>
      </c>
    </row>
    <row r="276" spans="1:19" x14ac:dyDescent="0.25">
      <c r="A276" s="248" t="s">
        <v>1003</v>
      </c>
      <c r="B276" s="248" t="s">
        <v>907</v>
      </c>
      <c r="C276" s="249">
        <v>163.69992608700417</v>
      </c>
      <c r="D276" s="250">
        <f>C276*'[3]Base Costs'!$B$5</f>
        <v>163.69992608700417</v>
      </c>
      <c r="E276" s="250">
        <f t="shared" si="28"/>
        <v>21</v>
      </c>
      <c r="F276" s="250">
        <f t="shared" si="29"/>
        <v>5</v>
      </c>
      <c r="G276" s="250">
        <f t="shared" si="30"/>
        <v>2</v>
      </c>
      <c r="H276" s="251">
        <f>4*D276*'[3]Base Costs'!$B$7</f>
        <v>32534.378110235561</v>
      </c>
      <c r="I276" s="252">
        <f>4*IF(E276&lt;=3,E276*'[3]Base Costs'!$B$8,IF(F276&lt;=3,F276*'[3]Base Costs'!$B$9,'[3]Base Costs'!$B$10*G276))</f>
        <v>8800</v>
      </c>
      <c r="J276" s="253">
        <f>C276*'[3]Base Costs'!$B$6</f>
        <v>41.579781226099058</v>
      </c>
      <c r="K276" s="250">
        <f t="shared" si="31"/>
        <v>6</v>
      </c>
      <c r="L276" s="250">
        <f t="shared" si="32"/>
        <v>2</v>
      </c>
      <c r="M276" s="250">
        <f t="shared" si="33"/>
        <v>1</v>
      </c>
      <c r="N276" s="251">
        <f>4*J276*'[3]Base Costs'!$B$7</f>
        <v>8263.7320399998316</v>
      </c>
      <c r="O276" s="252">
        <f>4*IF(K276&lt;=3,K276*'[3]Base Costs'!$B$8,IF(L276&lt;=3,L276*'[3]Base Costs'!$B$9,'[3]Base Costs'!$B$10*M276))</f>
        <v>2800</v>
      </c>
      <c r="P276" s="252">
        <f>4*C276*'[3]Base Costs'!$B$11</f>
        <v>32739.985217400834</v>
      </c>
      <c r="Q276">
        <f>'[3]Base Costs'!$B$13+'[3]Base Costs'!$B$14</f>
        <v>414</v>
      </c>
      <c r="R276" s="239">
        <f>'[3]Base Costs'!$D$2</f>
        <v>1105.3024868650327</v>
      </c>
      <c r="S276" s="254">
        <f t="shared" si="34"/>
        <v>12583.034526864863</v>
      </c>
    </row>
    <row r="277" spans="1:19" x14ac:dyDescent="0.25">
      <c r="A277" s="248" t="s">
        <v>1003</v>
      </c>
      <c r="B277" s="248" t="s">
        <v>908</v>
      </c>
      <c r="C277" s="249">
        <v>379.90753905307531</v>
      </c>
      <c r="D277" s="250">
        <f>C277*'[3]Base Costs'!$B$5</f>
        <v>379.90753905307531</v>
      </c>
      <c r="E277" s="250">
        <f t="shared" si="28"/>
        <v>48</v>
      </c>
      <c r="F277" s="250">
        <f t="shared" si="29"/>
        <v>10</v>
      </c>
      <c r="G277" s="250">
        <f t="shared" si="30"/>
        <v>3</v>
      </c>
      <c r="H277" s="251">
        <f>4*D277*'[3]Base Costs'!$B$7</f>
        <v>75504.34394156441</v>
      </c>
      <c r="I277" s="252">
        <f>4*IF(E277&lt;=3,E277*'[3]Base Costs'!$B$8,IF(F277&lt;=3,F277*'[3]Base Costs'!$B$9,'[3]Base Costs'!$B$10*G277))</f>
        <v>13200</v>
      </c>
      <c r="J277" s="253">
        <f>C277*'[3]Base Costs'!$B$6</f>
        <v>96.496514919481129</v>
      </c>
      <c r="K277" s="250">
        <f t="shared" si="31"/>
        <v>13</v>
      </c>
      <c r="L277" s="250">
        <f t="shared" si="32"/>
        <v>3</v>
      </c>
      <c r="M277" s="250">
        <f t="shared" si="33"/>
        <v>1</v>
      </c>
      <c r="N277" s="251">
        <f>4*J277*'[3]Base Costs'!$B$7</f>
        <v>19178.103361157358</v>
      </c>
      <c r="O277" s="252">
        <f>4*IF(K277&lt;=3,K277*'[3]Base Costs'!$B$8,IF(L277&lt;=3,L277*'[3]Base Costs'!$B$9,'[3]Base Costs'!$B$10*M277))</f>
        <v>4200</v>
      </c>
      <c r="P277" s="252">
        <f>4*C277*'[3]Base Costs'!$B$11</f>
        <v>75981.507810615061</v>
      </c>
      <c r="Q277">
        <f>'[3]Base Costs'!$B$13+'[3]Base Costs'!$B$14</f>
        <v>414</v>
      </c>
      <c r="R277" s="239">
        <f>'[3]Base Costs'!$D$2</f>
        <v>1105.3024868650327</v>
      </c>
      <c r="S277" s="254">
        <f t="shared" si="34"/>
        <v>24897.40584802239</v>
      </c>
    </row>
    <row r="278" spans="1:19" x14ac:dyDescent="0.25">
      <c r="A278" s="248" t="s">
        <v>1003</v>
      </c>
      <c r="B278" s="248" t="s">
        <v>909</v>
      </c>
      <c r="C278" s="249">
        <v>152.06862082217981</v>
      </c>
      <c r="D278" s="250">
        <f>C278*'[3]Base Costs'!$B$5</f>
        <v>152.06862082217981</v>
      </c>
      <c r="E278" s="250">
        <f t="shared" si="28"/>
        <v>20</v>
      </c>
      <c r="F278" s="250">
        <f t="shared" si="29"/>
        <v>4</v>
      </c>
      <c r="G278" s="250">
        <f t="shared" si="30"/>
        <v>1</v>
      </c>
      <c r="H278" s="251">
        <f>4*D278*'[3]Base Costs'!$B$7</f>
        <v>30222.725976683309</v>
      </c>
      <c r="I278" s="252">
        <f>4*IF(E278&lt;=3,E278*'[3]Base Costs'!$B$8,IF(F278&lt;=3,F278*'[3]Base Costs'!$B$9,'[3]Base Costs'!$B$10*G278))</f>
        <v>4400</v>
      </c>
      <c r="J278" s="253">
        <f>C278*'[3]Base Costs'!$B$6</f>
        <v>38.62542968883367</v>
      </c>
      <c r="K278" s="250">
        <f t="shared" si="31"/>
        <v>5</v>
      </c>
      <c r="L278" s="250">
        <f t="shared" si="32"/>
        <v>1</v>
      </c>
      <c r="M278" s="250">
        <f t="shared" si="33"/>
        <v>1</v>
      </c>
      <c r="N278" s="251">
        <f>4*J278*'[3]Base Costs'!$B$7</f>
        <v>7676.5723980775601</v>
      </c>
      <c r="O278" s="252">
        <f>4*IF(K278&lt;=3,K278*'[3]Base Costs'!$B$8,IF(L278&lt;=3,L278*'[3]Base Costs'!$B$9,'[3]Base Costs'!$B$10*M278))</f>
        <v>1400</v>
      </c>
      <c r="P278" s="252">
        <f>4*C278*'[3]Base Costs'!$B$11</f>
        <v>30413.72416443596</v>
      </c>
      <c r="Q278">
        <f>'[3]Base Costs'!$B$13+'[3]Base Costs'!$B$14</f>
        <v>414</v>
      </c>
      <c r="R278" s="239">
        <f>'[3]Base Costs'!$D$2</f>
        <v>1105.3024868650327</v>
      </c>
      <c r="S278" s="254">
        <f t="shared" si="34"/>
        <v>10595.874884942594</v>
      </c>
    </row>
    <row r="279" spans="1:19" x14ac:dyDescent="0.25">
      <c r="A279" s="248" t="s">
        <v>1003</v>
      </c>
      <c r="B279" s="248" t="s">
        <v>910</v>
      </c>
      <c r="C279" s="249">
        <v>137.92587917082076</v>
      </c>
      <c r="D279" s="250">
        <f>C279*'[3]Base Costs'!$B$5</f>
        <v>137.92587917082076</v>
      </c>
      <c r="E279" s="250">
        <f t="shared" si="28"/>
        <v>18</v>
      </c>
      <c r="F279" s="250">
        <f t="shared" si="29"/>
        <v>4</v>
      </c>
      <c r="G279" s="250">
        <f t="shared" si="30"/>
        <v>1</v>
      </c>
      <c r="H279" s="251">
        <f>4*D279*'[3]Base Costs'!$B$7</f>
        <v>27411.940929925604</v>
      </c>
      <c r="I279" s="252">
        <f>4*IF(E279&lt;=3,E279*'[3]Base Costs'!$B$8,IF(F279&lt;=3,F279*'[3]Base Costs'!$B$9,'[3]Base Costs'!$B$10*G279))</f>
        <v>4400</v>
      </c>
      <c r="J279" s="253">
        <f>C279*'[3]Base Costs'!$B$6</f>
        <v>35.033173309388474</v>
      </c>
      <c r="K279" s="250">
        <f t="shared" si="31"/>
        <v>5</v>
      </c>
      <c r="L279" s="250">
        <f t="shared" si="32"/>
        <v>1</v>
      </c>
      <c r="M279" s="250">
        <f t="shared" si="33"/>
        <v>1</v>
      </c>
      <c r="N279" s="251">
        <f>4*J279*'[3]Base Costs'!$B$7</f>
        <v>6962.6329962011041</v>
      </c>
      <c r="O279" s="252">
        <f>4*IF(K279&lt;=3,K279*'[3]Base Costs'!$B$8,IF(L279&lt;=3,L279*'[3]Base Costs'!$B$9,'[3]Base Costs'!$B$10*M279))</f>
        <v>1400</v>
      </c>
      <c r="P279" s="252">
        <f>4*C279*'[3]Base Costs'!$B$11</f>
        <v>27585.175834164154</v>
      </c>
      <c r="Q279">
        <f>'[3]Base Costs'!$B$13+'[3]Base Costs'!$B$14</f>
        <v>414</v>
      </c>
      <c r="R279" s="239">
        <f>'[3]Base Costs'!$D$2</f>
        <v>1105.3024868650327</v>
      </c>
      <c r="S279" s="254">
        <f t="shared" si="34"/>
        <v>9881.9354830661359</v>
      </c>
    </row>
    <row r="280" spans="1:19" x14ac:dyDescent="0.25">
      <c r="A280" s="248" t="s">
        <v>1003</v>
      </c>
      <c r="B280" s="248" t="s">
        <v>911</v>
      </c>
      <c r="C280" s="249">
        <v>216.90940794006988</v>
      </c>
      <c r="D280" s="250">
        <f>C280*'[3]Base Costs'!$B$5</f>
        <v>216.90940794006988</v>
      </c>
      <c r="E280" s="250">
        <f t="shared" si="28"/>
        <v>28</v>
      </c>
      <c r="F280" s="250">
        <f t="shared" si="29"/>
        <v>6</v>
      </c>
      <c r="G280" s="250">
        <f t="shared" si="30"/>
        <v>2</v>
      </c>
      <c r="H280" s="251">
        <f>4*D280*'[3]Base Costs'!$B$7</f>
        <v>43109.443371641253</v>
      </c>
      <c r="I280" s="252">
        <f>4*IF(E280&lt;=3,E280*'[3]Base Costs'!$B$8,IF(F280&lt;=3,F280*'[3]Base Costs'!$B$9,'[3]Base Costs'!$B$10*G280))</f>
        <v>8800</v>
      </c>
      <c r="J280" s="253">
        <f>C280*'[3]Base Costs'!$B$6</f>
        <v>55.094989616777752</v>
      </c>
      <c r="K280" s="250">
        <f t="shared" si="31"/>
        <v>7</v>
      </c>
      <c r="L280" s="250">
        <f t="shared" si="32"/>
        <v>2</v>
      </c>
      <c r="M280" s="250">
        <f t="shared" si="33"/>
        <v>1</v>
      </c>
      <c r="N280" s="251">
        <f>4*J280*'[3]Base Costs'!$B$7</f>
        <v>10949.79861639688</v>
      </c>
      <c r="O280" s="252">
        <f>4*IF(K280&lt;=3,K280*'[3]Base Costs'!$B$8,IF(L280&lt;=3,L280*'[3]Base Costs'!$B$9,'[3]Base Costs'!$B$10*M280))</f>
        <v>2800</v>
      </c>
      <c r="P280" s="252">
        <f>4*C280*'[3]Base Costs'!$B$11</f>
        <v>43381.881588013974</v>
      </c>
      <c r="Q280">
        <f>'[3]Base Costs'!$B$13+'[3]Base Costs'!$B$14</f>
        <v>414</v>
      </c>
      <c r="R280" s="239">
        <f>'[3]Base Costs'!$D$2</f>
        <v>1105.3024868650327</v>
      </c>
      <c r="S280" s="254">
        <f t="shared" si="34"/>
        <v>15269.101103261914</v>
      </c>
    </row>
    <row r="281" spans="1:19" x14ac:dyDescent="0.25">
      <c r="A281" s="248" t="s">
        <v>1003</v>
      </c>
      <c r="B281" s="248" t="s">
        <v>912</v>
      </c>
      <c r="C281" s="249">
        <v>107.20252003133781</v>
      </c>
      <c r="D281" s="250">
        <f>C281*'[3]Base Costs'!$B$5</f>
        <v>107.20252003133781</v>
      </c>
      <c r="E281" s="250">
        <f t="shared" si="28"/>
        <v>14</v>
      </c>
      <c r="F281" s="250">
        <f t="shared" si="29"/>
        <v>3</v>
      </c>
      <c r="G281" s="250">
        <f t="shared" si="30"/>
        <v>1</v>
      </c>
      <c r="H281" s="251">
        <f>4*D281*'[3]Base Costs'!$B$7</f>
        <v>21305.857641108207</v>
      </c>
      <c r="I281" s="252">
        <f>4*IF(E281&lt;=3,E281*'[3]Base Costs'!$B$8,IF(F281&lt;=3,F281*'[3]Base Costs'!$B$9,'[3]Base Costs'!$B$10*G281))</f>
        <v>4200</v>
      </c>
      <c r="J281" s="253">
        <f>C281*'[3]Base Costs'!$B$6</f>
        <v>27.229440087959805</v>
      </c>
      <c r="K281" s="250">
        <f t="shared" si="31"/>
        <v>4</v>
      </c>
      <c r="L281" s="250">
        <f t="shared" si="32"/>
        <v>1</v>
      </c>
      <c r="M281" s="250">
        <f t="shared" si="33"/>
        <v>1</v>
      </c>
      <c r="N281" s="251">
        <f>4*J281*'[3]Base Costs'!$B$7</f>
        <v>5411.6878408414841</v>
      </c>
      <c r="O281" s="252">
        <f>4*IF(K281&lt;=3,K281*'[3]Base Costs'!$B$8,IF(L281&lt;=3,L281*'[3]Base Costs'!$B$9,'[3]Base Costs'!$B$10*M281))</f>
        <v>1400</v>
      </c>
      <c r="P281" s="252">
        <f>4*C281*'[3]Base Costs'!$B$11</f>
        <v>21440.504006267562</v>
      </c>
      <c r="Q281">
        <f>'[3]Base Costs'!$B$13+'[3]Base Costs'!$B$14</f>
        <v>414</v>
      </c>
      <c r="R281" s="239">
        <f>'[3]Base Costs'!$D$2</f>
        <v>1105.3024868650327</v>
      </c>
      <c r="S281" s="254">
        <f t="shared" si="34"/>
        <v>8330.9903277065168</v>
      </c>
    </row>
    <row r="282" spans="1:19" x14ac:dyDescent="0.25">
      <c r="A282" s="248" t="s">
        <v>1003</v>
      </c>
      <c r="B282" s="248" t="s">
        <v>913</v>
      </c>
      <c r="C282" s="249">
        <v>78.148313864949003</v>
      </c>
      <c r="D282" s="250">
        <f>C282*'[3]Base Costs'!$B$5</f>
        <v>78.148313864949003</v>
      </c>
      <c r="E282" s="250">
        <f t="shared" si="28"/>
        <v>10</v>
      </c>
      <c r="F282" s="250">
        <f t="shared" si="29"/>
        <v>2</v>
      </c>
      <c r="G282" s="250">
        <f t="shared" si="30"/>
        <v>1</v>
      </c>
      <c r="H282" s="251">
        <f>4*D282*'[3]Base Costs'!$B$7</f>
        <v>15531.508490775426</v>
      </c>
      <c r="I282" s="252">
        <f>4*IF(E282&lt;=3,E282*'[3]Base Costs'!$B$8,IF(F282&lt;=3,F282*'[3]Base Costs'!$B$9,'[3]Base Costs'!$B$10*G282))</f>
        <v>2800</v>
      </c>
      <c r="J282" s="253">
        <f>C282*'[3]Base Costs'!$B$6</f>
        <v>19.849671721697046</v>
      </c>
      <c r="K282" s="250">
        <f t="shared" si="31"/>
        <v>3</v>
      </c>
      <c r="L282" s="250">
        <f t="shared" si="32"/>
        <v>1</v>
      </c>
      <c r="M282" s="250">
        <f t="shared" si="33"/>
        <v>1</v>
      </c>
      <c r="N282" s="251">
        <f>4*J282*'[3]Base Costs'!$B$7</f>
        <v>3945.0031566569583</v>
      </c>
      <c r="O282" s="252">
        <f>4*IF(K282&lt;=3,K282*'[3]Base Costs'!$B$8,IF(L282&lt;=3,L282*'[3]Base Costs'!$B$9,'[3]Base Costs'!$B$10*M282))</f>
        <v>1500</v>
      </c>
      <c r="P282" s="252">
        <f>4*C282*'[3]Base Costs'!$B$11</f>
        <v>15629.662772989801</v>
      </c>
      <c r="Q282">
        <f>'[3]Base Costs'!$B$13+'[3]Base Costs'!$B$14</f>
        <v>414</v>
      </c>
      <c r="R282" s="239">
        <f>'[3]Base Costs'!$D$2</f>
        <v>1105.3024868650327</v>
      </c>
      <c r="S282" s="254">
        <f t="shared" si="34"/>
        <v>6964.3056435219914</v>
      </c>
    </row>
    <row r="283" spans="1:19" x14ac:dyDescent="0.25">
      <c r="A283" s="248" t="s">
        <v>1003</v>
      </c>
      <c r="B283" s="248" t="s">
        <v>914</v>
      </c>
      <c r="C283" s="249">
        <v>84.100704120000003</v>
      </c>
      <c r="D283" s="250">
        <f>C283*'[3]Base Costs'!$B$5</f>
        <v>84.100704120000003</v>
      </c>
      <c r="E283" s="250">
        <f t="shared" si="28"/>
        <v>11</v>
      </c>
      <c r="F283" s="250">
        <f t="shared" si="29"/>
        <v>3</v>
      </c>
      <c r="G283" s="250">
        <f t="shared" si="30"/>
        <v>1</v>
      </c>
      <c r="H283" s="251">
        <f>4*D283*'[3]Base Costs'!$B$7</f>
        <v>16714.510339625282</v>
      </c>
      <c r="I283" s="252">
        <f>4*IF(E283&lt;=3,E283*'[3]Base Costs'!$B$8,IF(F283&lt;=3,F283*'[3]Base Costs'!$B$9,'[3]Base Costs'!$B$10*G283))</f>
        <v>4200</v>
      </c>
      <c r="J283" s="253">
        <f>C283*'[3]Base Costs'!$B$6</f>
        <v>21.36157884648</v>
      </c>
      <c r="K283" s="250">
        <f t="shared" si="31"/>
        <v>3</v>
      </c>
      <c r="L283" s="250">
        <f t="shared" si="32"/>
        <v>1</v>
      </c>
      <c r="M283" s="250">
        <f t="shared" si="33"/>
        <v>1</v>
      </c>
      <c r="N283" s="251">
        <f>4*J283*'[3]Base Costs'!$B$7</f>
        <v>4245.4856262648218</v>
      </c>
      <c r="O283" s="252">
        <f>4*IF(K283&lt;=3,K283*'[3]Base Costs'!$B$8,IF(L283&lt;=3,L283*'[3]Base Costs'!$B$9,'[3]Base Costs'!$B$10*M283))</f>
        <v>1500</v>
      </c>
      <c r="P283" s="252">
        <f>4*C283*'[3]Base Costs'!$B$11</f>
        <v>16820.140824000002</v>
      </c>
      <c r="Q283">
        <f>'[3]Base Costs'!$B$13+'[3]Base Costs'!$B$14</f>
        <v>414</v>
      </c>
      <c r="R283" s="239">
        <f>'[3]Base Costs'!$D$2</f>
        <v>1105.3024868650327</v>
      </c>
      <c r="S283" s="254">
        <f t="shared" si="34"/>
        <v>7264.7881131298545</v>
      </c>
    </row>
    <row r="284" spans="1:19" x14ac:dyDescent="0.25">
      <c r="A284" s="248" t="s">
        <v>1003</v>
      </c>
      <c r="B284" s="248" t="s">
        <v>915</v>
      </c>
      <c r="C284" s="249">
        <v>204.71121190144817</v>
      </c>
      <c r="D284" s="250">
        <f>C284*'[3]Base Costs'!$B$5</f>
        <v>204.71121190144817</v>
      </c>
      <c r="E284" s="250">
        <f t="shared" si="28"/>
        <v>26</v>
      </c>
      <c r="F284" s="250">
        <f t="shared" si="29"/>
        <v>6</v>
      </c>
      <c r="G284" s="250">
        <f t="shared" si="30"/>
        <v>2</v>
      </c>
      <c r="H284" s="251">
        <f>4*D284*'[3]Base Costs'!$B$7</f>
        <v>40685.12509814142</v>
      </c>
      <c r="I284" s="252">
        <f>4*IF(E284&lt;=3,E284*'[3]Base Costs'!$B$8,IF(F284&lt;=3,F284*'[3]Base Costs'!$B$9,'[3]Base Costs'!$B$10*G284))</f>
        <v>8800</v>
      </c>
      <c r="J284" s="253">
        <f>C284*'[3]Base Costs'!$B$6</f>
        <v>51.996647822967837</v>
      </c>
      <c r="K284" s="250">
        <f t="shared" si="31"/>
        <v>7</v>
      </c>
      <c r="L284" s="250">
        <f t="shared" si="32"/>
        <v>2</v>
      </c>
      <c r="M284" s="250">
        <f t="shared" si="33"/>
        <v>1</v>
      </c>
      <c r="N284" s="251">
        <f>4*J284*'[3]Base Costs'!$B$7</f>
        <v>10334.021774927922</v>
      </c>
      <c r="O284" s="252">
        <f>4*IF(K284&lt;=3,K284*'[3]Base Costs'!$B$8,IF(L284&lt;=3,L284*'[3]Base Costs'!$B$9,'[3]Base Costs'!$B$10*M284))</f>
        <v>2800</v>
      </c>
      <c r="P284" s="252">
        <f>4*C284*'[3]Base Costs'!$B$11</f>
        <v>40942.24238028963</v>
      </c>
      <c r="Q284">
        <f>'[3]Base Costs'!$B$13+'[3]Base Costs'!$B$14</f>
        <v>414</v>
      </c>
      <c r="R284" s="239">
        <f>'[3]Base Costs'!$D$2</f>
        <v>1105.3024868650327</v>
      </c>
      <c r="S284" s="254">
        <f t="shared" si="34"/>
        <v>14653.324261792954</v>
      </c>
    </row>
    <row r="285" spans="1:19" x14ac:dyDescent="0.25">
      <c r="A285" s="248" t="s">
        <v>1003</v>
      </c>
      <c r="B285" s="248" t="s">
        <v>916</v>
      </c>
      <c r="C285" s="249">
        <v>58.000146891315531</v>
      </c>
      <c r="D285" s="250">
        <f>C285*'[3]Base Costs'!$B$5</f>
        <v>58.000146891315531</v>
      </c>
      <c r="E285" s="250">
        <f t="shared" si="28"/>
        <v>8</v>
      </c>
      <c r="F285" s="250">
        <f t="shared" si="29"/>
        <v>2</v>
      </c>
      <c r="G285" s="250">
        <f t="shared" si="30"/>
        <v>1</v>
      </c>
      <c r="H285" s="251">
        <f>4*D285*'[3]Base Costs'!$B$7</f>
        <v>11527.181193767616</v>
      </c>
      <c r="I285" s="252">
        <f>4*IF(E285&lt;=3,E285*'[3]Base Costs'!$B$8,IF(F285&lt;=3,F285*'[3]Base Costs'!$B$9,'[3]Base Costs'!$B$10*G285))</f>
        <v>2800</v>
      </c>
      <c r="J285" s="253">
        <f>C285*'[3]Base Costs'!$B$6</f>
        <v>14.732037310394144</v>
      </c>
      <c r="K285" s="250">
        <f t="shared" si="31"/>
        <v>2</v>
      </c>
      <c r="L285" s="250">
        <f t="shared" si="32"/>
        <v>1</v>
      </c>
      <c r="M285" s="250">
        <f t="shared" si="33"/>
        <v>1</v>
      </c>
      <c r="N285" s="251">
        <f>4*J285*'[3]Base Costs'!$B$7</f>
        <v>2927.9040232169741</v>
      </c>
      <c r="O285" s="252">
        <f>4*IF(K285&lt;=3,K285*'[3]Base Costs'!$B$8,IF(L285&lt;=3,L285*'[3]Base Costs'!$B$9,'[3]Base Costs'!$B$10*M285))</f>
        <v>1000</v>
      </c>
      <c r="P285" s="252">
        <f>4*C285*'[3]Base Costs'!$B$11</f>
        <v>11600.029378263107</v>
      </c>
      <c r="Q285">
        <f>'[3]Base Costs'!$B$13+'[3]Base Costs'!$B$14</f>
        <v>414</v>
      </c>
      <c r="R285" s="239">
        <f>'[3]Base Costs'!$D$2</f>
        <v>1105.3024868650327</v>
      </c>
      <c r="S285" s="254">
        <f t="shared" si="34"/>
        <v>5447.2065100820073</v>
      </c>
    </row>
    <row r="286" spans="1:19" x14ac:dyDescent="0.25">
      <c r="A286" s="248" t="s">
        <v>1003</v>
      </c>
      <c r="B286" s="248" t="s">
        <v>917</v>
      </c>
      <c r="C286" s="249">
        <v>134.72447849462364</v>
      </c>
      <c r="D286" s="250">
        <f>C286*'[3]Base Costs'!$B$5</f>
        <v>134.72447849462364</v>
      </c>
      <c r="E286" s="250">
        <f t="shared" si="28"/>
        <v>17</v>
      </c>
      <c r="F286" s="250">
        <f t="shared" si="29"/>
        <v>4</v>
      </c>
      <c r="G286" s="250">
        <f t="shared" si="30"/>
        <v>1</v>
      </c>
      <c r="H286" s="251">
        <f>4*D286*'[3]Base Costs'!$B$7</f>
        <v>26775.681753935485</v>
      </c>
      <c r="I286" s="252">
        <f>4*IF(E286&lt;=3,E286*'[3]Base Costs'!$B$8,IF(F286&lt;=3,F286*'[3]Base Costs'!$B$9,'[3]Base Costs'!$B$10*G286))</f>
        <v>4400</v>
      </c>
      <c r="J286" s="253">
        <f>C286*'[3]Base Costs'!$B$6</f>
        <v>34.220017537634405</v>
      </c>
      <c r="K286" s="250">
        <f t="shared" si="31"/>
        <v>5</v>
      </c>
      <c r="L286" s="250">
        <f t="shared" si="32"/>
        <v>1</v>
      </c>
      <c r="M286" s="250">
        <f t="shared" si="33"/>
        <v>1</v>
      </c>
      <c r="N286" s="251">
        <f>4*J286*'[3]Base Costs'!$B$7</f>
        <v>6801.0231654996132</v>
      </c>
      <c r="O286" s="252">
        <f>4*IF(K286&lt;=3,K286*'[3]Base Costs'!$B$8,IF(L286&lt;=3,L286*'[3]Base Costs'!$B$9,'[3]Base Costs'!$B$10*M286))</f>
        <v>1400</v>
      </c>
      <c r="P286" s="252">
        <f>4*C286*'[3]Base Costs'!$B$11</f>
        <v>26944.895698924727</v>
      </c>
      <c r="Q286">
        <f>'[3]Base Costs'!$B$13+'[3]Base Costs'!$B$14</f>
        <v>414</v>
      </c>
      <c r="R286" s="239">
        <f>'[3]Base Costs'!$D$2</f>
        <v>1105.3024868650327</v>
      </c>
      <c r="S286" s="254">
        <f t="shared" si="34"/>
        <v>9720.3256523646451</v>
      </c>
    </row>
    <row r="287" spans="1:19" x14ac:dyDescent="0.25">
      <c r="A287" s="248" t="s">
        <v>1003</v>
      </c>
      <c r="B287" s="248" t="s">
        <v>994</v>
      </c>
      <c r="C287" s="249">
        <v>48.707478570160866</v>
      </c>
      <c r="D287" s="250">
        <f>C287*'[3]Base Costs'!$B$5</f>
        <v>48.707478570160866</v>
      </c>
      <c r="E287" s="250">
        <f t="shared" si="28"/>
        <v>7</v>
      </c>
      <c r="F287" s="250">
        <f t="shared" si="29"/>
        <v>2</v>
      </c>
      <c r="G287" s="250">
        <f t="shared" si="30"/>
        <v>1</v>
      </c>
      <c r="H287" s="251">
        <f>4*D287*'[3]Base Costs'!$B$7</f>
        <v>9680.3191209480519</v>
      </c>
      <c r="I287" s="252">
        <f>4*IF(E287&lt;=3,E287*'[3]Base Costs'!$B$8,IF(F287&lt;=3,F287*'[3]Base Costs'!$B$9,'[3]Base Costs'!$B$10*G287))</f>
        <v>2800</v>
      </c>
      <c r="J287" s="253">
        <f>C287*'[3]Base Costs'!$B$6</f>
        <v>12.371699556820861</v>
      </c>
      <c r="K287" s="250">
        <f t="shared" si="31"/>
        <v>2</v>
      </c>
      <c r="L287" s="250">
        <f t="shared" si="32"/>
        <v>1</v>
      </c>
      <c r="M287" s="250">
        <f t="shared" si="33"/>
        <v>1</v>
      </c>
      <c r="N287" s="251">
        <f>4*J287*'[3]Base Costs'!$B$7</f>
        <v>2458.8010567208057</v>
      </c>
      <c r="O287" s="252">
        <f>4*IF(K287&lt;=3,K287*'[3]Base Costs'!$B$8,IF(L287&lt;=3,L287*'[3]Base Costs'!$B$9,'[3]Base Costs'!$B$10*M287))</f>
        <v>1000</v>
      </c>
      <c r="P287" s="252">
        <f>4*C287*'[3]Base Costs'!$B$11</f>
        <v>9741.4957140321731</v>
      </c>
      <c r="Q287">
        <f>'[3]Base Costs'!$B$13+'[3]Base Costs'!$B$14</f>
        <v>414</v>
      </c>
      <c r="R287" s="239">
        <f>'[3]Base Costs'!$D$2</f>
        <v>1105.3024868650327</v>
      </c>
      <c r="S287" s="254">
        <f t="shared" si="34"/>
        <v>4978.1035435858385</v>
      </c>
    </row>
    <row r="288" spans="1:19" x14ac:dyDescent="0.25">
      <c r="A288" s="248" t="s">
        <v>1003</v>
      </c>
      <c r="B288" s="248" t="s">
        <v>918</v>
      </c>
      <c r="C288" s="249">
        <v>240.4196005721135</v>
      </c>
      <c r="D288" s="250">
        <f>C288*'[3]Base Costs'!$B$5</f>
        <v>240.4196005721135</v>
      </c>
      <c r="E288" s="250">
        <f t="shared" si="28"/>
        <v>31</v>
      </c>
      <c r="F288" s="250">
        <f t="shared" si="29"/>
        <v>7</v>
      </c>
      <c r="G288" s="250">
        <f t="shared" si="30"/>
        <v>2</v>
      </c>
      <c r="H288" s="251">
        <f>4*D288*'[3]Base Costs'!$B$7</f>
        <v>47781.953096104131</v>
      </c>
      <c r="I288" s="252">
        <f>4*IF(E288&lt;=3,E288*'[3]Base Costs'!$B$8,IF(F288&lt;=3,F288*'[3]Base Costs'!$B$9,'[3]Base Costs'!$B$10*G288))</f>
        <v>8800</v>
      </c>
      <c r="J288" s="253">
        <f>C288*'[3]Base Costs'!$B$6</f>
        <v>61.06657854531683</v>
      </c>
      <c r="K288" s="250">
        <f t="shared" si="31"/>
        <v>8</v>
      </c>
      <c r="L288" s="250">
        <f t="shared" si="32"/>
        <v>2</v>
      </c>
      <c r="M288" s="250">
        <f t="shared" si="33"/>
        <v>1</v>
      </c>
      <c r="N288" s="251">
        <f>4*J288*'[3]Base Costs'!$B$7</f>
        <v>12136.616086410449</v>
      </c>
      <c r="O288" s="252">
        <f>4*IF(K288&lt;=3,K288*'[3]Base Costs'!$B$8,IF(L288&lt;=3,L288*'[3]Base Costs'!$B$9,'[3]Base Costs'!$B$10*M288))</f>
        <v>2800</v>
      </c>
      <c r="P288" s="252">
        <f>4*C288*'[3]Base Costs'!$B$11</f>
        <v>48083.920114422697</v>
      </c>
      <c r="Q288">
        <f>'[3]Base Costs'!$B$13+'[3]Base Costs'!$B$14</f>
        <v>414</v>
      </c>
      <c r="R288" s="239">
        <f>'[3]Base Costs'!$D$2</f>
        <v>1105.3024868650327</v>
      </c>
      <c r="S288" s="254">
        <f t="shared" si="34"/>
        <v>16455.918573275481</v>
      </c>
    </row>
    <row r="289" spans="1:19" x14ac:dyDescent="0.25">
      <c r="A289" s="248" t="s">
        <v>1003</v>
      </c>
      <c r="B289" s="248" t="s">
        <v>919</v>
      </c>
      <c r="C289" s="249">
        <v>98.967016970091663</v>
      </c>
      <c r="D289" s="250">
        <f>C289*'[3]Base Costs'!$B$5</f>
        <v>98.967016970091663</v>
      </c>
      <c r="E289" s="250">
        <f t="shared" si="28"/>
        <v>13</v>
      </c>
      <c r="F289" s="250">
        <f t="shared" si="29"/>
        <v>3</v>
      </c>
      <c r="G289" s="250">
        <f t="shared" si="30"/>
        <v>1</v>
      </c>
      <c r="H289" s="251">
        <f>4*D289*'[3]Base Costs'!$B$7</f>
        <v>19669.100820703901</v>
      </c>
      <c r="I289" s="252">
        <f>4*IF(E289&lt;=3,E289*'[3]Base Costs'!$B$8,IF(F289&lt;=3,F289*'[3]Base Costs'!$B$9,'[3]Base Costs'!$B$10*G289))</f>
        <v>4200</v>
      </c>
      <c r="J289" s="253">
        <f>C289*'[3]Base Costs'!$B$6</f>
        <v>25.137622310403284</v>
      </c>
      <c r="K289" s="250">
        <f t="shared" si="31"/>
        <v>4</v>
      </c>
      <c r="L289" s="250">
        <f t="shared" si="32"/>
        <v>1</v>
      </c>
      <c r="M289" s="250">
        <f t="shared" si="33"/>
        <v>1</v>
      </c>
      <c r="N289" s="251">
        <f>4*J289*'[3]Base Costs'!$B$7</f>
        <v>4995.9516084587913</v>
      </c>
      <c r="O289" s="252">
        <f>4*IF(K289&lt;=3,K289*'[3]Base Costs'!$B$8,IF(L289&lt;=3,L289*'[3]Base Costs'!$B$9,'[3]Base Costs'!$B$10*M289))</f>
        <v>1400</v>
      </c>
      <c r="P289" s="252">
        <f>4*C289*'[3]Base Costs'!$B$11</f>
        <v>19793.403394018333</v>
      </c>
      <c r="Q289">
        <f>'[3]Base Costs'!$B$13+'[3]Base Costs'!$B$14</f>
        <v>414</v>
      </c>
      <c r="R289" s="239">
        <f>'[3]Base Costs'!$D$2</f>
        <v>1105.3024868650327</v>
      </c>
      <c r="S289" s="254">
        <f t="shared" si="34"/>
        <v>7915.254095323824</v>
      </c>
    </row>
    <row r="290" spans="1:19" x14ac:dyDescent="0.25">
      <c r="A290" s="248" t="s">
        <v>1003</v>
      </c>
      <c r="B290" s="248" t="s">
        <v>920</v>
      </c>
      <c r="C290" s="249">
        <v>164.91928725109986</v>
      </c>
      <c r="D290" s="250">
        <f>C290*'[3]Base Costs'!$B$5</f>
        <v>164.91928725109986</v>
      </c>
      <c r="E290" s="250">
        <f t="shared" si="28"/>
        <v>21</v>
      </c>
      <c r="F290" s="250">
        <f t="shared" si="29"/>
        <v>5</v>
      </c>
      <c r="G290" s="250">
        <f t="shared" si="30"/>
        <v>2</v>
      </c>
      <c r="H290" s="251">
        <f>4*D290*'[3]Base Costs'!$B$7</f>
        <v>32776.718825432596</v>
      </c>
      <c r="I290" s="252">
        <f>4*IF(E290&lt;=3,E290*'[3]Base Costs'!$B$8,IF(F290&lt;=3,F290*'[3]Base Costs'!$B$9,'[3]Base Costs'!$B$10*G290))</f>
        <v>8800</v>
      </c>
      <c r="J290" s="253">
        <f>C290*'[3]Base Costs'!$B$6</f>
        <v>41.889498961779367</v>
      </c>
      <c r="K290" s="250">
        <f t="shared" si="31"/>
        <v>6</v>
      </c>
      <c r="L290" s="250">
        <f t="shared" si="32"/>
        <v>2</v>
      </c>
      <c r="M290" s="250">
        <f t="shared" si="33"/>
        <v>1</v>
      </c>
      <c r="N290" s="251">
        <f>4*J290*'[3]Base Costs'!$B$7</f>
        <v>8325.2865816598805</v>
      </c>
      <c r="O290" s="252">
        <f>4*IF(K290&lt;=3,K290*'[3]Base Costs'!$B$8,IF(L290&lt;=3,L290*'[3]Base Costs'!$B$9,'[3]Base Costs'!$B$10*M290))</f>
        <v>2800</v>
      </c>
      <c r="P290" s="252">
        <f>4*C290*'[3]Base Costs'!$B$11</f>
        <v>32983.85745021997</v>
      </c>
      <c r="Q290">
        <f>'[3]Base Costs'!$B$13+'[3]Base Costs'!$B$14</f>
        <v>414</v>
      </c>
      <c r="R290" s="239">
        <f>'[3]Base Costs'!$D$2</f>
        <v>1105.3024868650327</v>
      </c>
      <c r="S290" s="254">
        <f t="shared" si="34"/>
        <v>12644.589068524914</v>
      </c>
    </row>
    <row r="291" spans="1:19" x14ac:dyDescent="0.25">
      <c r="A291" s="248" t="s">
        <v>1003</v>
      </c>
      <c r="B291" s="248" t="s">
        <v>921</v>
      </c>
      <c r="C291" s="249">
        <v>83.256593440000003</v>
      </c>
      <c r="D291" s="250">
        <f>C291*'[3]Base Costs'!$B$5</f>
        <v>83.256593440000003</v>
      </c>
      <c r="E291" s="250">
        <f t="shared" si="28"/>
        <v>11</v>
      </c>
      <c r="F291" s="250">
        <f t="shared" si="29"/>
        <v>3</v>
      </c>
      <c r="G291" s="250">
        <f t="shared" si="30"/>
        <v>1</v>
      </c>
      <c r="H291" s="251">
        <f>4*D291*'[3]Base Costs'!$B$7</f>
        <v>16546.748406639363</v>
      </c>
      <c r="I291" s="252">
        <f>4*IF(E291&lt;=3,E291*'[3]Base Costs'!$B$8,IF(F291&lt;=3,F291*'[3]Base Costs'!$B$9,'[3]Base Costs'!$B$10*G291))</f>
        <v>4200</v>
      </c>
      <c r="J291" s="253">
        <f>C291*'[3]Base Costs'!$B$6</f>
        <v>21.14717473376</v>
      </c>
      <c r="K291" s="250">
        <f t="shared" si="31"/>
        <v>3</v>
      </c>
      <c r="L291" s="250">
        <f t="shared" si="32"/>
        <v>1</v>
      </c>
      <c r="M291" s="250">
        <f t="shared" si="33"/>
        <v>1</v>
      </c>
      <c r="N291" s="251">
        <f>4*J291*'[3]Base Costs'!$B$7</f>
        <v>4202.8740952863982</v>
      </c>
      <c r="O291" s="252">
        <f>4*IF(K291&lt;=3,K291*'[3]Base Costs'!$B$8,IF(L291&lt;=3,L291*'[3]Base Costs'!$B$9,'[3]Base Costs'!$B$10*M291))</f>
        <v>1500</v>
      </c>
      <c r="P291" s="252">
        <f>4*C291*'[3]Base Costs'!$B$11</f>
        <v>16651.318687999999</v>
      </c>
      <c r="Q291">
        <f>'[3]Base Costs'!$B$13+'[3]Base Costs'!$B$14</f>
        <v>414</v>
      </c>
      <c r="R291" s="239">
        <f>'[3]Base Costs'!$D$2</f>
        <v>1105.3024868650327</v>
      </c>
      <c r="S291" s="254">
        <f t="shared" si="34"/>
        <v>7222.1765821514309</v>
      </c>
    </row>
    <row r="292" spans="1:19" x14ac:dyDescent="0.25">
      <c r="A292" s="248" t="s">
        <v>1003</v>
      </c>
      <c r="B292" s="248" t="s">
        <v>922</v>
      </c>
      <c r="C292" s="249">
        <v>164.49962688673529</v>
      </c>
      <c r="D292" s="250">
        <f>C292*'[3]Base Costs'!$B$5</f>
        <v>164.49962688673529</v>
      </c>
      <c r="E292" s="250">
        <f t="shared" si="28"/>
        <v>21</v>
      </c>
      <c r="F292" s="250">
        <f t="shared" si="29"/>
        <v>5</v>
      </c>
      <c r="G292" s="250">
        <f t="shared" si="30"/>
        <v>2</v>
      </c>
      <c r="H292" s="251">
        <f>4*D292*'[3]Base Costs'!$B$7</f>
        <v>32693.313845977322</v>
      </c>
      <c r="I292" s="252">
        <f>4*IF(E292&lt;=3,E292*'[3]Base Costs'!$B$8,IF(F292&lt;=3,F292*'[3]Base Costs'!$B$9,'[3]Base Costs'!$B$10*G292))</f>
        <v>8800</v>
      </c>
      <c r="J292" s="253">
        <f>C292*'[3]Base Costs'!$B$6</f>
        <v>41.782905229230764</v>
      </c>
      <c r="K292" s="250">
        <f t="shared" si="31"/>
        <v>6</v>
      </c>
      <c r="L292" s="250">
        <f t="shared" si="32"/>
        <v>2</v>
      </c>
      <c r="M292" s="250">
        <f t="shared" si="33"/>
        <v>1</v>
      </c>
      <c r="N292" s="251">
        <f>4*J292*'[3]Base Costs'!$B$7</f>
        <v>8304.10171687824</v>
      </c>
      <c r="O292" s="252">
        <f>4*IF(K292&lt;=3,K292*'[3]Base Costs'!$B$8,IF(L292&lt;=3,L292*'[3]Base Costs'!$B$9,'[3]Base Costs'!$B$10*M292))</f>
        <v>2800</v>
      </c>
      <c r="P292" s="252">
        <f>4*C292*'[3]Base Costs'!$B$11</f>
        <v>32899.925377347055</v>
      </c>
      <c r="Q292">
        <f>'[3]Base Costs'!$B$13+'[3]Base Costs'!$B$14</f>
        <v>414</v>
      </c>
      <c r="R292" s="239">
        <f>'[3]Base Costs'!$D$2</f>
        <v>1105.3024868650327</v>
      </c>
      <c r="S292" s="254">
        <f t="shared" si="34"/>
        <v>12623.404203743274</v>
      </c>
    </row>
    <row r="293" spans="1:19" x14ac:dyDescent="0.25">
      <c r="A293" s="248" t="s">
        <v>1003</v>
      </c>
      <c r="B293" s="248" t="s">
        <v>923</v>
      </c>
      <c r="C293" s="249">
        <v>48.552871939987305</v>
      </c>
      <c r="D293" s="250">
        <f>C293*'[3]Base Costs'!$B$5</f>
        <v>48.552871939987305</v>
      </c>
      <c r="E293" s="250">
        <f t="shared" si="28"/>
        <v>7</v>
      </c>
      <c r="F293" s="250">
        <f t="shared" si="29"/>
        <v>2</v>
      </c>
      <c r="G293" s="250">
        <f t="shared" si="30"/>
        <v>1</v>
      </c>
      <c r="H293" s="251">
        <f>4*D293*'[3]Base Costs'!$B$7</f>
        <v>9649.591980840838</v>
      </c>
      <c r="I293" s="252">
        <f>4*IF(E293&lt;=3,E293*'[3]Base Costs'!$B$8,IF(F293&lt;=3,F293*'[3]Base Costs'!$B$9,'[3]Base Costs'!$B$10*G293))</f>
        <v>2800</v>
      </c>
      <c r="J293" s="253">
        <f>C293*'[3]Base Costs'!$B$6</f>
        <v>12.332429472756775</v>
      </c>
      <c r="K293" s="250">
        <f t="shared" si="31"/>
        <v>2</v>
      </c>
      <c r="L293" s="250">
        <f t="shared" si="32"/>
        <v>1</v>
      </c>
      <c r="M293" s="250">
        <f t="shared" si="33"/>
        <v>1</v>
      </c>
      <c r="N293" s="251">
        <f>4*J293*'[3]Base Costs'!$B$7</f>
        <v>2450.9963631335727</v>
      </c>
      <c r="O293" s="252">
        <f>4*IF(K293&lt;=3,K293*'[3]Base Costs'!$B$8,IF(L293&lt;=3,L293*'[3]Base Costs'!$B$9,'[3]Base Costs'!$B$10*M293))</f>
        <v>1000</v>
      </c>
      <c r="P293" s="252">
        <f>4*C293*'[3]Base Costs'!$B$11</f>
        <v>9710.5743879974616</v>
      </c>
      <c r="Q293">
        <f>'[3]Base Costs'!$B$13+'[3]Base Costs'!$B$14</f>
        <v>414</v>
      </c>
      <c r="R293" s="239">
        <f>'[3]Base Costs'!$D$2</f>
        <v>1105.3024868650327</v>
      </c>
      <c r="S293" s="254">
        <f t="shared" si="34"/>
        <v>4970.2988499986059</v>
      </c>
    </row>
    <row r="294" spans="1:19" x14ac:dyDescent="0.25">
      <c r="A294" s="248" t="s">
        <v>1003</v>
      </c>
      <c r="B294" s="248" t="s">
        <v>924</v>
      </c>
      <c r="C294" s="249">
        <v>407.12826456591426</v>
      </c>
      <c r="D294" s="250">
        <f>C294*'[3]Base Costs'!$B$5</f>
        <v>407.12826456591426</v>
      </c>
      <c r="E294" s="250">
        <f t="shared" si="28"/>
        <v>51</v>
      </c>
      <c r="F294" s="250">
        <f t="shared" si="29"/>
        <v>11</v>
      </c>
      <c r="G294" s="250">
        <f t="shared" si="30"/>
        <v>3</v>
      </c>
      <c r="H294" s="251">
        <f>4*D294*'[3]Base Costs'!$B$7</f>
        <v>80914.299812888072</v>
      </c>
      <c r="I294" s="252">
        <f>4*IF(E294&lt;=3,E294*'[3]Base Costs'!$B$8,IF(F294&lt;=3,F294*'[3]Base Costs'!$B$9,'[3]Base Costs'!$B$10*G294))</f>
        <v>13200</v>
      </c>
      <c r="J294" s="253">
        <f>C294*'[3]Base Costs'!$B$6</f>
        <v>103.41057919974223</v>
      </c>
      <c r="K294" s="250">
        <f t="shared" si="31"/>
        <v>13</v>
      </c>
      <c r="L294" s="250">
        <f t="shared" si="32"/>
        <v>3</v>
      </c>
      <c r="M294" s="250">
        <f t="shared" si="33"/>
        <v>1</v>
      </c>
      <c r="N294" s="251">
        <f>4*J294*'[3]Base Costs'!$B$7</f>
        <v>20552.232152473574</v>
      </c>
      <c r="O294" s="252">
        <f>4*IF(K294&lt;=3,K294*'[3]Base Costs'!$B$8,IF(L294&lt;=3,L294*'[3]Base Costs'!$B$9,'[3]Base Costs'!$B$10*M294))</f>
        <v>4200</v>
      </c>
      <c r="P294" s="252">
        <f>4*C294*'[3]Base Costs'!$B$11</f>
        <v>81425.652913182857</v>
      </c>
      <c r="Q294">
        <f>'[3]Base Costs'!$B$13+'[3]Base Costs'!$B$14</f>
        <v>414</v>
      </c>
      <c r="R294" s="239">
        <f>'[3]Base Costs'!$D$2</f>
        <v>1105.3024868650327</v>
      </c>
      <c r="S294" s="254">
        <f t="shared" si="34"/>
        <v>26271.534639338606</v>
      </c>
    </row>
    <row r="295" spans="1:19" x14ac:dyDescent="0.25">
      <c r="A295" s="248" t="s">
        <v>1003</v>
      </c>
      <c r="B295" s="248" t="s">
        <v>925</v>
      </c>
      <c r="C295" s="249">
        <v>181.12060026521237</v>
      </c>
      <c r="D295" s="250">
        <f>C295*'[3]Base Costs'!$B$5</f>
        <v>181.12060026521237</v>
      </c>
      <c r="E295" s="250">
        <f t="shared" si="28"/>
        <v>23</v>
      </c>
      <c r="F295" s="250">
        <f t="shared" si="29"/>
        <v>5</v>
      </c>
      <c r="G295" s="250">
        <f t="shared" si="30"/>
        <v>2</v>
      </c>
      <c r="H295" s="251">
        <f>4*D295*'[3]Base Costs'!$B$7</f>
        <v>35996.632579109377</v>
      </c>
      <c r="I295" s="252">
        <f>4*IF(E295&lt;=3,E295*'[3]Base Costs'!$B$8,IF(F295&lt;=3,F295*'[3]Base Costs'!$B$9,'[3]Base Costs'!$B$10*G295))</f>
        <v>8800</v>
      </c>
      <c r="J295" s="253">
        <f>C295*'[3]Base Costs'!$B$6</f>
        <v>46.00463246736394</v>
      </c>
      <c r="K295" s="250">
        <f t="shared" si="31"/>
        <v>6</v>
      </c>
      <c r="L295" s="250">
        <f t="shared" si="32"/>
        <v>2</v>
      </c>
      <c r="M295" s="250">
        <f t="shared" si="33"/>
        <v>1</v>
      </c>
      <c r="N295" s="251">
        <f>4*J295*'[3]Base Costs'!$B$7</f>
        <v>9143.1446750937794</v>
      </c>
      <c r="O295" s="252">
        <f>4*IF(K295&lt;=3,K295*'[3]Base Costs'!$B$8,IF(L295&lt;=3,L295*'[3]Base Costs'!$B$9,'[3]Base Costs'!$B$10*M295))</f>
        <v>2800</v>
      </c>
      <c r="P295" s="252">
        <f>4*C295*'[3]Base Costs'!$B$11</f>
        <v>36224.120053042476</v>
      </c>
      <c r="Q295">
        <f>'[3]Base Costs'!$B$13+'[3]Base Costs'!$B$14</f>
        <v>414</v>
      </c>
      <c r="R295" s="239">
        <f>'[3]Base Costs'!$D$2</f>
        <v>1105.3024868650327</v>
      </c>
      <c r="S295" s="254">
        <f t="shared" si="34"/>
        <v>13462.447161958811</v>
      </c>
    </row>
    <row r="296" spans="1:19" x14ac:dyDescent="0.25">
      <c r="A296" s="248" t="s">
        <v>1003</v>
      </c>
      <c r="B296" s="248" t="s">
        <v>926</v>
      </c>
      <c r="C296" s="249">
        <v>42.999976575000005</v>
      </c>
      <c r="D296" s="250">
        <f>C296*'[3]Base Costs'!$B$5</f>
        <v>42.999976575000005</v>
      </c>
      <c r="E296" s="250">
        <f t="shared" si="28"/>
        <v>6</v>
      </c>
      <c r="F296" s="250">
        <f t="shared" si="29"/>
        <v>2</v>
      </c>
      <c r="G296" s="250">
        <f t="shared" si="30"/>
        <v>1</v>
      </c>
      <c r="H296" s="251">
        <f>4*D296*'[3]Base Costs'!$B$7</f>
        <v>8545.9873444218028</v>
      </c>
      <c r="I296" s="252">
        <f>4*IF(E296&lt;=3,E296*'[3]Base Costs'!$B$8,IF(F296&lt;=3,F296*'[3]Base Costs'!$B$9,'[3]Base Costs'!$B$10*G296))</f>
        <v>2800</v>
      </c>
      <c r="J296" s="253">
        <f>C296*'[3]Base Costs'!$B$6</f>
        <v>10.921994050050001</v>
      </c>
      <c r="K296" s="250">
        <f t="shared" si="31"/>
        <v>2</v>
      </c>
      <c r="L296" s="250">
        <f t="shared" si="32"/>
        <v>1</v>
      </c>
      <c r="M296" s="250">
        <f t="shared" si="33"/>
        <v>1</v>
      </c>
      <c r="N296" s="251">
        <f>4*J296*'[3]Base Costs'!$B$7</f>
        <v>2170.6807854831377</v>
      </c>
      <c r="O296" s="252">
        <f>4*IF(K296&lt;=3,K296*'[3]Base Costs'!$B$8,IF(L296&lt;=3,L296*'[3]Base Costs'!$B$9,'[3]Base Costs'!$B$10*M296))</f>
        <v>1000</v>
      </c>
      <c r="P296" s="252">
        <f>4*C296*'[3]Base Costs'!$B$11</f>
        <v>8599.9953150000001</v>
      </c>
      <c r="Q296">
        <f>'[3]Base Costs'!$B$13+'[3]Base Costs'!$B$14</f>
        <v>414</v>
      </c>
      <c r="R296" s="239">
        <f>'[3]Base Costs'!$D$2</f>
        <v>1105.3024868650327</v>
      </c>
      <c r="S296" s="254">
        <f t="shared" si="34"/>
        <v>4689.9832723481704</v>
      </c>
    </row>
    <row r="297" spans="1:19" x14ac:dyDescent="0.25">
      <c r="A297" s="248" t="s">
        <v>1003</v>
      </c>
      <c r="B297" s="248" t="s">
        <v>927</v>
      </c>
      <c r="C297" s="249">
        <v>94.400781835000004</v>
      </c>
      <c r="D297" s="250">
        <f>C297*'[3]Base Costs'!$B$5</f>
        <v>94.400781835000004</v>
      </c>
      <c r="E297" s="250">
        <f t="shared" si="28"/>
        <v>12</v>
      </c>
      <c r="F297" s="250">
        <f t="shared" si="29"/>
        <v>3</v>
      </c>
      <c r="G297" s="250">
        <f t="shared" si="30"/>
        <v>1</v>
      </c>
      <c r="H297" s="251">
        <f>4*D297*'[3]Base Costs'!$B$7</f>
        <v>18761.588985015242</v>
      </c>
      <c r="I297" s="252">
        <f>4*IF(E297&lt;=3,E297*'[3]Base Costs'!$B$8,IF(F297&lt;=3,F297*'[3]Base Costs'!$B$9,'[3]Base Costs'!$B$10*G297))</f>
        <v>4200</v>
      </c>
      <c r="J297" s="253">
        <f>C297*'[3]Base Costs'!$B$6</f>
        <v>23.97779858609</v>
      </c>
      <c r="K297" s="250">
        <f t="shared" si="31"/>
        <v>3</v>
      </c>
      <c r="L297" s="250">
        <f t="shared" si="32"/>
        <v>1</v>
      </c>
      <c r="M297" s="250">
        <f t="shared" si="33"/>
        <v>1</v>
      </c>
      <c r="N297" s="251">
        <f>4*J297*'[3]Base Costs'!$B$7</f>
        <v>4765.4436021938718</v>
      </c>
      <c r="O297" s="252">
        <f>4*IF(K297&lt;=3,K297*'[3]Base Costs'!$B$8,IF(L297&lt;=3,L297*'[3]Base Costs'!$B$9,'[3]Base Costs'!$B$10*M297))</f>
        <v>1500</v>
      </c>
      <c r="P297" s="252">
        <f>4*C297*'[3]Base Costs'!$B$11</f>
        <v>18880.156367</v>
      </c>
      <c r="Q297">
        <f>'[3]Base Costs'!$B$13+'[3]Base Costs'!$B$14</f>
        <v>414</v>
      </c>
      <c r="R297" s="239">
        <f>'[3]Base Costs'!$D$2</f>
        <v>1105.3024868650327</v>
      </c>
      <c r="S297" s="254">
        <f t="shared" si="34"/>
        <v>7784.7460890589045</v>
      </c>
    </row>
    <row r="298" spans="1:19" x14ac:dyDescent="0.25">
      <c r="A298" s="248" t="s">
        <v>1003</v>
      </c>
      <c r="B298" s="248" t="s">
        <v>928</v>
      </c>
      <c r="C298" s="249">
        <v>173.58868725658795</v>
      </c>
      <c r="D298" s="250">
        <f>C298*'[3]Base Costs'!$B$5</f>
        <v>173.58868725658795</v>
      </c>
      <c r="E298" s="250">
        <f t="shared" si="28"/>
        <v>22</v>
      </c>
      <c r="F298" s="250">
        <f t="shared" si="29"/>
        <v>5</v>
      </c>
      <c r="G298" s="250">
        <f t="shared" si="30"/>
        <v>2</v>
      </c>
      <c r="H298" s="251">
        <f>4*D298*'[3]Base Costs'!$B$7</f>
        <v>34499.710060123318</v>
      </c>
      <c r="I298" s="252">
        <f>4*IF(E298&lt;=3,E298*'[3]Base Costs'!$B$8,IF(F298&lt;=3,F298*'[3]Base Costs'!$B$9,'[3]Base Costs'!$B$10*G298))</f>
        <v>8800</v>
      </c>
      <c r="J298" s="253">
        <f>C298*'[3]Base Costs'!$B$6</f>
        <v>44.091526563173339</v>
      </c>
      <c r="K298" s="250">
        <f t="shared" si="31"/>
        <v>6</v>
      </c>
      <c r="L298" s="250">
        <f t="shared" si="32"/>
        <v>2</v>
      </c>
      <c r="M298" s="250">
        <f t="shared" si="33"/>
        <v>1</v>
      </c>
      <c r="N298" s="251">
        <f>4*J298*'[3]Base Costs'!$B$7</f>
        <v>8762.9263552713237</v>
      </c>
      <c r="O298" s="252">
        <f>4*IF(K298&lt;=3,K298*'[3]Base Costs'!$B$8,IF(L298&lt;=3,L298*'[3]Base Costs'!$B$9,'[3]Base Costs'!$B$10*M298))</f>
        <v>2800</v>
      </c>
      <c r="P298" s="252">
        <f>4*C298*'[3]Base Costs'!$B$11</f>
        <v>34717.737451317589</v>
      </c>
      <c r="Q298">
        <f>'[3]Base Costs'!$B$13+'[3]Base Costs'!$B$14</f>
        <v>414</v>
      </c>
      <c r="R298" s="239">
        <f>'[3]Base Costs'!$D$2</f>
        <v>1105.3024868650327</v>
      </c>
      <c r="S298" s="254">
        <f t="shared" si="34"/>
        <v>13082.228842136356</v>
      </c>
    </row>
    <row r="299" spans="1:19" x14ac:dyDescent="0.25">
      <c r="A299" s="248" t="s">
        <v>1003</v>
      </c>
      <c r="B299" s="248" t="s">
        <v>929</v>
      </c>
      <c r="C299" s="249">
        <v>67.099633015000009</v>
      </c>
      <c r="D299" s="250">
        <f>C299*'[3]Base Costs'!$B$5</f>
        <v>67.099633015000009</v>
      </c>
      <c r="E299" s="250">
        <f t="shared" si="28"/>
        <v>9</v>
      </c>
      <c r="F299" s="250">
        <f t="shared" si="29"/>
        <v>2</v>
      </c>
      <c r="G299" s="250">
        <f t="shared" si="30"/>
        <v>1</v>
      </c>
      <c r="H299" s="251">
        <f>4*D299*'[3]Base Costs'!$B$7</f>
        <v>13335.649463933163</v>
      </c>
      <c r="I299" s="252">
        <f>4*IF(E299&lt;=3,E299*'[3]Base Costs'!$B$8,IF(F299&lt;=3,F299*'[3]Base Costs'!$B$9,'[3]Base Costs'!$B$10*G299))</f>
        <v>2800</v>
      </c>
      <c r="J299" s="253">
        <f>C299*'[3]Base Costs'!$B$6</f>
        <v>17.043306785810003</v>
      </c>
      <c r="K299" s="250">
        <f t="shared" si="31"/>
        <v>3</v>
      </c>
      <c r="L299" s="250">
        <f t="shared" si="32"/>
        <v>1</v>
      </c>
      <c r="M299" s="250">
        <f t="shared" si="33"/>
        <v>1</v>
      </c>
      <c r="N299" s="251">
        <f>4*J299*'[3]Base Costs'!$B$7</f>
        <v>3387.2549638390237</v>
      </c>
      <c r="O299" s="252">
        <f>4*IF(K299&lt;=3,K299*'[3]Base Costs'!$B$8,IF(L299&lt;=3,L299*'[3]Base Costs'!$B$9,'[3]Base Costs'!$B$10*M299))</f>
        <v>1500</v>
      </c>
      <c r="P299" s="252">
        <f>4*C299*'[3]Base Costs'!$B$11</f>
        <v>13419.926603000002</v>
      </c>
      <c r="Q299">
        <f>'[3]Base Costs'!$B$13+'[3]Base Costs'!$B$14</f>
        <v>414</v>
      </c>
      <c r="R299" s="239">
        <f>'[3]Base Costs'!$D$2</f>
        <v>1105.3024868650327</v>
      </c>
      <c r="S299" s="254">
        <f t="shared" si="34"/>
        <v>6406.5574507040565</v>
      </c>
    </row>
    <row r="300" spans="1:19" x14ac:dyDescent="0.25">
      <c r="A300" s="248" t="s">
        <v>1003</v>
      </c>
      <c r="B300" s="248" t="s">
        <v>930</v>
      </c>
      <c r="C300" s="249">
        <v>178.90154895000001</v>
      </c>
      <c r="D300" s="250">
        <f>C300*'[3]Base Costs'!$B$5</f>
        <v>178.90154895000001</v>
      </c>
      <c r="E300" s="250">
        <f t="shared" si="28"/>
        <v>23</v>
      </c>
      <c r="F300" s="250">
        <f t="shared" si="29"/>
        <v>5</v>
      </c>
      <c r="G300" s="250">
        <f t="shared" si="30"/>
        <v>2</v>
      </c>
      <c r="H300" s="251">
        <f>4*D300*'[3]Base Costs'!$B$7</f>
        <v>35555.609444518806</v>
      </c>
      <c r="I300" s="252">
        <f>4*IF(E300&lt;=3,E300*'[3]Base Costs'!$B$8,IF(F300&lt;=3,F300*'[3]Base Costs'!$B$9,'[3]Base Costs'!$B$10*G300))</f>
        <v>8800</v>
      </c>
      <c r="J300" s="253">
        <f>C300*'[3]Base Costs'!$B$6</f>
        <v>45.440993433300001</v>
      </c>
      <c r="K300" s="250">
        <f t="shared" si="31"/>
        <v>6</v>
      </c>
      <c r="L300" s="250">
        <f t="shared" si="32"/>
        <v>2</v>
      </c>
      <c r="M300" s="250">
        <f t="shared" si="33"/>
        <v>1</v>
      </c>
      <c r="N300" s="251">
        <f>4*J300*'[3]Base Costs'!$B$7</f>
        <v>9031.1247989077765</v>
      </c>
      <c r="O300" s="252">
        <f>4*IF(K300&lt;=3,K300*'[3]Base Costs'!$B$8,IF(L300&lt;=3,L300*'[3]Base Costs'!$B$9,'[3]Base Costs'!$B$10*M300))</f>
        <v>2800</v>
      </c>
      <c r="P300" s="252">
        <f>4*C300*'[3]Base Costs'!$B$11</f>
        <v>35780.309789999999</v>
      </c>
      <c r="Q300">
        <f>'[3]Base Costs'!$B$13+'[3]Base Costs'!$B$14</f>
        <v>414</v>
      </c>
      <c r="R300" s="239">
        <f>'[3]Base Costs'!$D$2</f>
        <v>1105.3024868650327</v>
      </c>
      <c r="S300" s="254">
        <f t="shared" si="34"/>
        <v>13350.42728577281</v>
      </c>
    </row>
    <row r="301" spans="1:19" x14ac:dyDescent="0.25">
      <c r="A301" s="248" t="s">
        <v>1003</v>
      </c>
      <c r="B301" s="248" t="s">
        <v>931</v>
      </c>
      <c r="C301" s="249">
        <v>158.87435341789035</v>
      </c>
      <c r="D301" s="250">
        <f>C301*'[3]Base Costs'!$B$5</f>
        <v>158.87435341789035</v>
      </c>
      <c r="E301" s="250">
        <f t="shared" si="28"/>
        <v>20</v>
      </c>
      <c r="F301" s="250">
        <f t="shared" si="29"/>
        <v>4</v>
      </c>
      <c r="G301" s="250">
        <f t="shared" si="30"/>
        <v>1</v>
      </c>
      <c r="H301" s="251">
        <f>4*D301*'[3]Base Costs'!$B$7</f>
        <v>31575.324495685203</v>
      </c>
      <c r="I301" s="252">
        <f>4*IF(E301&lt;=3,E301*'[3]Base Costs'!$B$8,IF(F301&lt;=3,F301*'[3]Base Costs'!$B$9,'[3]Base Costs'!$B$10*G301))</f>
        <v>4400</v>
      </c>
      <c r="J301" s="253">
        <f>C301*'[3]Base Costs'!$B$6</f>
        <v>40.354085768144152</v>
      </c>
      <c r="K301" s="250">
        <f t="shared" si="31"/>
        <v>6</v>
      </c>
      <c r="L301" s="250">
        <f t="shared" si="32"/>
        <v>2</v>
      </c>
      <c r="M301" s="250">
        <f t="shared" si="33"/>
        <v>1</v>
      </c>
      <c r="N301" s="251">
        <f>4*J301*'[3]Base Costs'!$B$7</f>
        <v>8020.1324219040425</v>
      </c>
      <c r="O301" s="252">
        <f>4*IF(K301&lt;=3,K301*'[3]Base Costs'!$B$8,IF(L301&lt;=3,L301*'[3]Base Costs'!$B$9,'[3]Base Costs'!$B$10*M301))</f>
        <v>2800</v>
      </c>
      <c r="P301" s="252">
        <f>4*C301*'[3]Base Costs'!$B$11</f>
        <v>31774.870683578069</v>
      </c>
      <c r="Q301">
        <f>'[3]Base Costs'!$B$13+'[3]Base Costs'!$B$14</f>
        <v>414</v>
      </c>
      <c r="R301" s="239">
        <f>'[3]Base Costs'!$D$2</f>
        <v>1105.3024868650327</v>
      </c>
      <c r="S301" s="254">
        <f t="shared" si="34"/>
        <v>12339.434908769075</v>
      </c>
    </row>
    <row r="302" spans="1:19" x14ac:dyDescent="0.25">
      <c r="A302" s="248" t="s">
        <v>1003</v>
      </c>
      <c r="B302" s="248" t="s">
        <v>932</v>
      </c>
      <c r="C302" s="249">
        <v>40.5625</v>
      </c>
      <c r="D302" s="250">
        <f>C302*'[3]Base Costs'!$B$5</f>
        <v>40.5625</v>
      </c>
      <c r="E302" s="250">
        <f t="shared" si="28"/>
        <v>6</v>
      </c>
      <c r="F302" s="250">
        <f t="shared" si="29"/>
        <v>2</v>
      </c>
      <c r="G302" s="250">
        <f t="shared" si="30"/>
        <v>1</v>
      </c>
      <c r="H302" s="251">
        <f>4*D302*'[3]Base Costs'!$B$7</f>
        <v>8061.5535000000009</v>
      </c>
      <c r="I302" s="252">
        <f>4*IF(E302&lt;=3,E302*'[3]Base Costs'!$B$8,IF(F302&lt;=3,F302*'[3]Base Costs'!$B$9,'[3]Base Costs'!$B$10*G302))</f>
        <v>2800</v>
      </c>
      <c r="J302" s="253">
        <f>C302*'[3]Base Costs'!$B$6</f>
        <v>10.302875</v>
      </c>
      <c r="K302" s="250">
        <f t="shared" si="31"/>
        <v>2</v>
      </c>
      <c r="L302" s="250">
        <f t="shared" si="32"/>
        <v>1</v>
      </c>
      <c r="M302" s="250">
        <f t="shared" si="33"/>
        <v>1</v>
      </c>
      <c r="N302" s="251">
        <f>4*J302*'[3]Base Costs'!$B$7</f>
        <v>2047.6345890000002</v>
      </c>
      <c r="O302" s="252">
        <f>4*IF(K302&lt;=3,K302*'[3]Base Costs'!$B$8,IF(L302&lt;=3,L302*'[3]Base Costs'!$B$9,'[3]Base Costs'!$B$10*M302))</f>
        <v>1000</v>
      </c>
      <c r="P302" s="252">
        <f>4*C302*'[3]Base Costs'!$B$11</f>
        <v>8112.5</v>
      </c>
      <c r="Q302">
        <f>'[3]Base Costs'!$B$13+'[3]Base Costs'!$B$14</f>
        <v>414</v>
      </c>
      <c r="R302" s="239">
        <f>'[3]Base Costs'!$D$2</f>
        <v>1105.3024868650327</v>
      </c>
      <c r="S302" s="254">
        <f t="shared" si="34"/>
        <v>4566.937075865033</v>
      </c>
    </row>
    <row r="303" spans="1:19" x14ac:dyDescent="0.25">
      <c r="A303" s="248" t="s">
        <v>1003</v>
      </c>
      <c r="B303" s="248" t="s">
        <v>933</v>
      </c>
      <c r="C303" s="249">
        <v>97.77761715318502</v>
      </c>
      <c r="D303" s="250">
        <f>C303*'[3]Base Costs'!$B$5</f>
        <v>97.77761715318502</v>
      </c>
      <c r="E303" s="250">
        <f t="shared" si="28"/>
        <v>13</v>
      </c>
      <c r="F303" s="250">
        <f t="shared" si="29"/>
        <v>3</v>
      </c>
      <c r="G303" s="250">
        <f t="shared" si="30"/>
        <v>1</v>
      </c>
      <c r="H303" s="251">
        <f>4*D303*'[3]Base Costs'!$B$7</f>
        <v>19432.714743492605</v>
      </c>
      <c r="I303" s="252">
        <f>4*IF(E303&lt;=3,E303*'[3]Base Costs'!$B$8,IF(F303&lt;=3,F303*'[3]Base Costs'!$B$9,'[3]Base Costs'!$B$10*G303))</f>
        <v>4200</v>
      </c>
      <c r="J303" s="253">
        <f>C303*'[3]Base Costs'!$B$6</f>
        <v>24.835514756908996</v>
      </c>
      <c r="K303" s="250">
        <f t="shared" si="31"/>
        <v>4</v>
      </c>
      <c r="L303" s="250">
        <f t="shared" si="32"/>
        <v>1</v>
      </c>
      <c r="M303" s="250">
        <f t="shared" si="33"/>
        <v>1</v>
      </c>
      <c r="N303" s="251">
        <f>4*J303*'[3]Base Costs'!$B$7</f>
        <v>4935.9095448471226</v>
      </c>
      <c r="O303" s="252">
        <f>4*IF(K303&lt;=3,K303*'[3]Base Costs'!$B$8,IF(L303&lt;=3,L303*'[3]Base Costs'!$B$9,'[3]Base Costs'!$B$10*M303))</f>
        <v>1400</v>
      </c>
      <c r="P303" s="252">
        <f>4*C303*'[3]Base Costs'!$B$11</f>
        <v>19555.523430637004</v>
      </c>
      <c r="Q303">
        <f>'[3]Base Costs'!$B$13+'[3]Base Costs'!$B$14</f>
        <v>414</v>
      </c>
      <c r="R303" s="239">
        <f>'[3]Base Costs'!$D$2</f>
        <v>1105.3024868650327</v>
      </c>
      <c r="S303" s="254">
        <f t="shared" si="34"/>
        <v>7855.2120317121553</v>
      </c>
    </row>
    <row r="304" spans="1:19" x14ac:dyDescent="0.25">
      <c r="A304" s="248" t="s">
        <v>1003</v>
      </c>
      <c r="B304" s="248" t="s">
        <v>934</v>
      </c>
      <c r="C304" s="249">
        <v>83.467340584756087</v>
      </c>
      <c r="D304" s="250">
        <f>C304*'[3]Base Costs'!$B$5</f>
        <v>83.467340584756087</v>
      </c>
      <c r="E304" s="250">
        <f t="shared" si="28"/>
        <v>11</v>
      </c>
      <c r="F304" s="250">
        <f t="shared" si="29"/>
        <v>3</v>
      </c>
      <c r="G304" s="250">
        <f t="shared" si="30"/>
        <v>1</v>
      </c>
      <c r="H304" s="251">
        <f>4*D304*'[3]Base Costs'!$B$7</f>
        <v>16588.633137176766</v>
      </c>
      <c r="I304" s="252">
        <f>4*IF(E304&lt;=3,E304*'[3]Base Costs'!$B$8,IF(F304&lt;=3,F304*'[3]Base Costs'!$B$9,'[3]Base Costs'!$B$10*G304))</f>
        <v>4200</v>
      </c>
      <c r="J304" s="253">
        <f>C304*'[3]Base Costs'!$B$6</f>
        <v>21.200704508528048</v>
      </c>
      <c r="K304" s="250">
        <f t="shared" si="31"/>
        <v>3</v>
      </c>
      <c r="L304" s="250">
        <f t="shared" si="32"/>
        <v>1</v>
      </c>
      <c r="M304" s="250">
        <f t="shared" si="33"/>
        <v>1</v>
      </c>
      <c r="N304" s="251">
        <f>4*J304*'[3]Base Costs'!$B$7</f>
        <v>4213.5128168428992</v>
      </c>
      <c r="O304" s="252">
        <f>4*IF(K304&lt;=3,K304*'[3]Base Costs'!$B$8,IF(L304&lt;=3,L304*'[3]Base Costs'!$B$9,'[3]Base Costs'!$B$10*M304))</f>
        <v>1500</v>
      </c>
      <c r="P304" s="252">
        <f>4*C304*'[3]Base Costs'!$B$11</f>
        <v>16693.468116951219</v>
      </c>
      <c r="Q304">
        <f>'[3]Base Costs'!$B$13+'[3]Base Costs'!$B$14</f>
        <v>414</v>
      </c>
      <c r="R304" s="239">
        <f>'[3]Base Costs'!$D$2</f>
        <v>1105.3024868650327</v>
      </c>
      <c r="S304" s="254">
        <f t="shared" si="34"/>
        <v>7232.8153037079319</v>
      </c>
    </row>
    <row r="305" spans="1:19" x14ac:dyDescent="0.25">
      <c r="A305" s="248" t="s">
        <v>1003</v>
      </c>
      <c r="B305" s="248" t="s">
        <v>935</v>
      </c>
      <c r="C305" s="249">
        <v>89.999841785000001</v>
      </c>
      <c r="D305" s="250">
        <f>C305*'[3]Base Costs'!$B$5</f>
        <v>89.999841785000001</v>
      </c>
      <c r="E305" s="250">
        <f t="shared" si="28"/>
        <v>12</v>
      </c>
      <c r="F305" s="250">
        <f t="shared" si="29"/>
        <v>3</v>
      </c>
      <c r="G305" s="250">
        <f t="shared" si="30"/>
        <v>1</v>
      </c>
      <c r="H305" s="251">
        <f>4*D305*'[3]Base Costs'!$B$7</f>
        <v>17886.928555718041</v>
      </c>
      <c r="I305" s="252">
        <f>4*IF(E305&lt;=3,E305*'[3]Base Costs'!$B$8,IF(F305&lt;=3,F305*'[3]Base Costs'!$B$9,'[3]Base Costs'!$B$10*G305))</f>
        <v>4200</v>
      </c>
      <c r="J305" s="253">
        <f>C305*'[3]Base Costs'!$B$6</f>
        <v>22.859959813389999</v>
      </c>
      <c r="K305" s="250">
        <f t="shared" si="31"/>
        <v>3</v>
      </c>
      <c r="L305" s="250">
        <f t="shared" si="32"/>
        <v>1</v>
      </c>
      <c r="M305" s="250">
        <f t="shared" si="33"/>
        <v>1</v>
      </c>
      <c r="N305" s="251">
        <f>4*J305*'[3]Base Costs'!$B$7</f>
        <v>4543.2798531523822</v>
      </c>
      <c r="O305" s="252">
        <f>4*IF(K305&lt;=3,K305*'[3]Base Costs'!$B$8,IF(L305&lt;=3,L305*'[3]Base Costs'!$B$9,'[3]Base Costs'!$B$10*M305))</f>
        <v>1500</v>
      </c>
      <c r="P305" s="252">
        <f>4*C305*'[3]Base Costs'!$B$11</f>
        <v>17999.968357000002</v>
      </c>
      <c r="Q305">
        <f>'[3]Base Costs'!$B$13+'[3]Base Costs'!$B$14</f>
        <v>414</v>
      </c>
      <c r="R305" s="239">
        <f>'[3]Base Costs'!$D$2</f>
        <v>1105.3024868650327</v>
      </c>
      <c r="S305" s="254">
        <f t="shared" si="34"/>
        <v>7562.5823400174149</v>
      </c>
    </row>
    <row r="306" spans="1:19" x14ac:dyDescent="0.25">
      <c r="A306" s="248" t="s">
        <v>1003</v>
      </c>
      <c r="B306" s="248" t="s">
        <v>936</v>
      </c>
      <c r="C306" s="249">
        <v>96.600016335000007</v>
      </c>
      <c r="D306" s="250">
        <f>C306*'[3]Base Costs'!$B$5</f>
        <v>96.600016335000007</v>
      </c>
      <c r="E306" s="250">
        <f t="shared" si="28"/>
        <v>13</v>
      </c>
      <c r="F306" s="250">
        <f t="shared" si="29"/>
        <v>3</v>
      </c>
      <c r="G306" s="250">
        <f t="shared" si="30"/>
        <v>1</v>
      </c>
      <c r="H306" s="251">
        <f>4*D306*'[3]Base Costs'!$B$7</f>
        <v>19198.673646483243</v>
      </c>
      <c r="I306" s="252">
        <f>4*IF(E306&lt;=3,E306*'[3]Base Costs'!$B$8,IF(F306&lt;=3,F306*'[3]Base Costs'!$B$9,'[3]Base Costs'!$B$10*G306))</f>
        <v>4200</v>
      </c>
      <c r="J306" s="253">
        <f>C306*'[3]Base Costs'!$B$6</f>
        <v>24.536404149090004</v>
      </c>
      <c r="K306" s="250">
        <f t="shared" si="31"/>
        <v>4</v>
      </c>
      <c r="L306" s="250">
        <f t="shared" si="32"/>
        <v>1</v>
      </c>
      <c r="M306" s="250">
        <f t="shared" si="33"/>
        <v>1</v>
      </c>
      <c r="N306" s="251">
        <f>4*J306*'[3]Base Costs'!$B$7</f>
        <v>4876.4631062067447</v>
      </c>
      <c r="O306" s="252">
        <f>4*IF(K306&lt;=3,K306*'[3]Base Costs'!$B$8,IF(L306&lt;=3,L306*'[3]Base Costs'!$B$9,'[3]Base Costs'!$B$10*M306))</f>
        <v>1400</v>
      </c>
      <c r="P306" s="252">
        <f>4*C306*'[3]Base Costs'!$B$11</f>
        <v>19320.003267</v>
      </c>
      <c r="Q306">
        <f>'[3]Base Costs'!$B$13+'[3]Base Costs'!$B$14</f>
        <v>414</v>
      </c>
      <c r="R306" s="239">
        <f>'[3]Base Costs'!$D$2</f>
        <v>1105.3024868650327</v>
      </c>
      <c r="S306" s="254">
        <f t="shared" si="34"/>
        <v>7795.7655930717774</v>
      </c>
    </row>
    <row r="307" spans="1:19" x14ac:dyDescent="0.25">
      <c r="A307" s="248" t="s">
        <v>1003</v>
      </c>
      <c r="B307" s="248" t="s">
        <v>937</v>
      </c>
      <c r="C307" s="249">
        <v>52.422417441599976</v>
      </c>
      <c r="D307" s="250">
        <f>C307*'[3]Base Costs'!$B$5</f>
        <v>52.422417441599976</v>
      </c>
      <c r="E307" s="250">
        <f t="shared" si="28"/>
        <v>7</v>
      </c>
      <c r="F307" s="250">
        <f t="shared" si="29"/>
        <v>2</v>
      </c>
      <c r="G307" s="250">
        <f t="shared" si="30"/>
        <v>1</v>
      </c>
      <c r="H307" s="251">
        <f>4*D307*'[3]Base Costs'!$B$7</f>
        <v>10418.640932013346</v>
      </c>
      <c r="I307" s="252">
        <f>4*IF(E307&lt;=3,E307*'[3]Base Costs'!$B$8,IF(F307&lt;=3,F307*'[3]Base Costs'!$B$9,'[3]Base Costs'!$B$10*G307))</f>
        <v>2800</v>
      </c>
      <c r="J307" s="253">
        <f>C307*'[3]Base Costs'!$B$6</f>
        <v>13.315294030166394</v>
      </c>
      <c r="K307" s="250">
        <f t="shared" si="31"/>
        <v>2</v>
      </c>
      <c r="L307" s="250">
        <f t="shared" si="32"/>
        <v>1</v>
      </c>
      <c r="M307" s="250">
        <f t="shared" si="33"/>
        <v>1</v>
      </c>
      <c r="N307" s="251">
        <f>4*J307*'[3]Base Costs'!$B$7</f>
        <v>2646.3347967313903</v>
      </c>
      <c r="O307" s="252">
        <f>4*IF(K307&lt;=3,K307*'[3]Base Costs'!$B$8,IF(L307&lt;=3,L307*'[3]Base Costs'!$B$9,'[3]Base Costs'!$B$10*M307))</f>
        <v>1000</v>
      </c>
      <c r="P307" s="252">
        <f>4*C307*'[3]Base Costs'!$B$11</f>
        <v>10484.483488319995</v>
      </c>
      <c r="Q307">
        <f>'[3]Base Costs'!$B$13+'[3]Base Costs'!$B$14</f>
        <v>414</v>
      </c>
      <c r="R307" s="239">
        <f>'[3]Base Costs'!$D$2</f>
        <v>1105.3024868650327</v>
      </c>
      <c r="S307" s="254">
        <f t="shared" si="34"/>
        <v>5165.637283596423</v>
      </c>
    </row>
    <row r="308" spans="1:19" x14ac:dyDescent="0.25">
      <c r="A308" s="248" t="s">
        <v>1003</v>
      </c>
      <c r="B308" s="248" t="s">
        <v>938</v>
      </c>
      <c r="C308" s="249">
        <v>138.82300364620804</v>
      </c>
      <c r="D308" s="250">
        <f>C308*'[3]Base Costs'!$B$5</f>
        <v>138.82300364620804</v>
      </c>
      <c r="E308" s="250">
        <f t="shared" si="28"/>
        <v>18</v>
      </c>
      <c r="F308" s="250">
        <f t="shared" si="29"/>
        <v>4</v>
      </c>
      <c r="G308" s="250">
        <f t="shared" si="30"/>
        <v>1</v>
      </c>
      <c r="H308" s="251">
        <f>4*D308*'[3]Base Costs'!$B$7</f>
        <v>27590.239036661973</v>
      </c>
      <c r="I308" s="252">
        <f>4*IF(E308&lt;=3,E308*'[3]Base Costs'!$B$8,IF(F308&lt;=3,F308*'[3]Base Costs'!$B$9,'[3]Base Costs'!$B$10*G308))</f>
        <v>4400</v>
      </c>
      <c r="J308" s="253">
        <f>C308*'[3]Base Costs'!$B$6</f>
        <v>35.261042926136845</v>
      </c>
      <c r="K308" s="250">
        <f t="shared" si="31"/>
        <v>5</v>
      </c>
      <c r="L308" s="250">
        <f t="shared" si="32"/>
        <v>1</v>
      </c>
      <c r="M308" s="250">
        <f t="shared" si="33"/>
        <v>1</v>
      </c>
      <c r="N308" s="251">
        <f>4*J308*'[3]Base Costs'!$B$7</f>
        <v>7007.9207153121424</v>
      </c>
      <c r="O308" s="252">
        <f>4*IF(K308&lt;=3,K308*'[3]Base Costs'!$B$8,IF(L308&lt;=3,L308*'[3]Base Costs'!$B$9,'[3]Base Costs'!$B$10*M308))</f>
        <v>1400</v>
      </c>
      <c r="P308" s="252">
        <f>4*C308*'[3]Base Costs'!$B$11</f>
        <v>27764.600729241607</v>
      </c>
      <c r="Q308">
        <f>'[3]Base Costs'!$B$13+'[3]Base Costs'!$B$14</f>
        <v>414</v>
      </c>
      <c r="R308" s="239">
        <f>'[3]Base Costs'!$D$2</f>
        <v>1105.3024868650327</v>
      </c>
      <c r="S308" s="254">
        <f t="shared" si="34"/>
        <v>9927.2232021771742</v>
      </c>
    </row>
    <row r="309" spans="1:19" x14ac:dyDescent="0.25">
      <c r="A309" s="248" t="s">
        <v>1003</v>
      </c>
      <c r="B309" s="248" t="s">
        <v>939</v>
      </c>
      <c r="C309" s="249">
        <v>142.82094907483105</v>
      </c>
      <c r="D309" s="250">
        <f>C309*'[3]Base Costs'!$B$5</f>
        <v>142.82094907483105</v>
      </c>
      <c r="E309" s="250">
        <f t="shared" si="28"/>
        <v>18</v>
      </c>
      <c r="F309" s="250">
        <f t="shared" si="29"/>
        <v>4</v>
      </c>
      <c r="G309" s="250">
        <f t="shared" si="30"/>
        <v>1</v>
      </c>
      <c r="H309" s="251">
        <f>4*D309*'[3]Base Costs'!$B$7</f>
        <v>28384.806702928225</v>
      </c>
      <c r="I309" s="252">
        <f>4*IF(E309&lt;=3,E309*'[3]Base Costs'!$B$8,IF(F309&lt;=3,F309*'[3]Base Costs'!$B$9,'[3]Base Costs'!$B$10*G309))</f>
        <v>4400</v>
      </c>
      <c r="J309" s="253">
        <f>C309*'[3]Base Costs'!$B$6</f>
        <v>36.276521065007088</v>
      </c>
      <c r="K309" s="250">
        <f t="shared" si="31"/>
        <v>5</v>
      </c>
      <c r="L309" s="250">
        <f t="shared" si="32"/>
        <v>1</v>
      </c>
      <c r="M309" s="250">
        <f t="shared" si="33"/>
        <v>1</v>
      </c>
      <c r="N309" s="251">
        <f>4*J309*'[3]Base Costs'!$B$7</f>
        <v>7209.7409025437701</v>
      </c>
      <c r="O309" s="252">
        <f>4*IF(K309&lt;=3,K309*'[3]Base Costs'!$B$8,IF(L309&lt;=3,L309*'[3]Base Costs'!$B$9,'[3]Base Costs'!$B$10*M309))</f>
        <v>1400</v>
      </c>
      <c r="P309" s="252">
        <f>4*C309*'[3]Base Costs'!$B$11</f>
        <v>28564.189814966208</v>
      </c>
      <c r="Q309">
        <f>'[3]Base Costs'!$B$13+'[3]Base Costs'!$B$14</f>
        <v>414</v>
      </c>
      <c r="R309" s="239">
        <f>'[3]Base Costs'!$D$2</f>
        <v>1105.3024868650327</v>
      </c>
      <c r="S309" s="254">
        <f t="shared" si="34"/>
        <v>10129.043389408802</v>
      </c>
    </row>
    <row r="310" spans="1:19" x14ac:dyDescent="0.25">
      <c r="A310" s="248" t="s">
        <v>1003</v>
      </c>
      <c r="B310" s="248" t="s">
        <v>940</v>
      </c>
      <c r="C310" s="249">
        <v>129.84675261997489</v>
      </c>
      <c r="D310" s="250">
        <f>C310*'[3]Base Costs'!$B$5</f>
        <v>129.84675261997489</v>
      </c>
      <c r="E310" s="250">
        <f t="shared" si="28"/>
        <v>17</v>
      </c>
      <c r="F310" s="250">
        <f t="shared" si="29"/>
        <v>4</v>
      </c>
      <c r="G310" s="250">
        <f t="shared" si="30"/>
        <v>1</v>
      </c>
      <c r="H310" s="251">
        <f>4*D310*'[3]Base Costs'!$B$7</f>
        <v>25806.263002704294</v>
      </c>
      <c r="I310" s="252">
        <f>4*IF(E310&lt;=3,E310*'[3]Base Costs'!$B$8,IF(F310&lt;=3,F310*'[3]Base Costs'!$B$9,'[3]Base Costs'!$B$10*G310))</f>
        <v>4400</v>
      </c>
      <c r="J310" s="253">
        <f>C310*'[3]Base Costs'!$B$6</f>
        <v>32.981075165473626</v>
      </c>
      <c r="K310" s="250">
        <f t="shared" si="31"/>
        <v>5</v>
      </c>
      <c r="L310" s="250">
        <f t="shared" si="32"/>
        <v>1</v>
      </c>
      <c r="M310" s="250">
        <f t="shared" si="33"/>
        <v>1</v>
      </c>
      <c r="N310" s="251">
        <f>4*J310*'[3]Base Costs'!$B$7</f>
        <v>6554.7908026868918</v>
      </c>
      <c r="O310" s="252">
        <f>4*IF(K310&lt;=3,K310*'[3]Base Costs'!$B$8,IF(L310&lt;=3,L310*'[3]Base Costs'!$B$9,'[3]Base Costs'!$B$10*M310))</f>
        <v>1400</v>
      </c>
      <c r="P310" s="252">
        <f>4*C310*'[3]Base Costs'!$B$11</f>
        <v>25969.350523994977</v>
      </c>
      <c r="Q310">
        <f>'[3]Base Costs'!$B$13+'[3]Base Costs'!$B$14</f>
        <v>414</v>
      </c>
      <c r="R310" s="239">
        <f>'[3]Base Costs'!$D$2</f>
        <v>1105.3024868650327</v>
      </c>
      <c r="S310" s="254">
        <f t="shared" si="34"/>
        <v>9474.0932895519254</v>
      </c>
    </row>
    <row r="311" spans="1:19" x14ac:dyDescent="0.25">
      <c r="A311" s="248" t="s">
        <v>1003</v>
      </c>
      <c r="B311" s="248" t="s">
        <v>941</v>
      </c>
      <c r="C311" s="249">
        <v>160.10061849658041</v>
      </c>
      <c r="D311" s="250">
        <f>C311*'[3]Base Costs'!$B$5</f>
        <v>160.10061849658041</v>
      </c>
      <c r="E311" s="250">
        <f t="shared" si="28"/>
        <v>21</v>
      </c>
      <c r="F311" s="250">
        <f t="shared" si="29"/>
        <v>5</v>
      </c>
      <c r="G311" s="250">
        <f t="shared" si="30"/>
        <v>2</v>
      </c>
      <c r="H311" s="251">
        <f>4*D311*'[3]Base Costs'!$B$7</f>
        <v>31819.037322484382</v>
      </c>
      <c r="I311" s="252">
        <f>4*IF(E311&lt;=3,E311*'[3]Base Costs'!$B$8,IF(F311&lt;=3,F311*'[3]Base Costs'!$B$9,'[3]Base Costs'!$B$10*G311))</f>
        <v>8800</v>
      </c>
      <c r="J311" s="253">
        <f>C311*'[3]Base Costs'!$B$6</f>
        <v>40.665557098131423</v>
      </c>
      <c r="K311" s="250">
        <f t="shared" si="31"/>
        <v>6</v>
      </c>
      <c r="L311" s="250">
        <f t="shared" si="32"/>
        <v>2</v>
      </c>
      <c r="M311" s="250">
        <f t="shared" si="33"/>
        <v>1</v>
      </c>
      <c r="N311" s="251">
        <f>4*J311*'[3]Base Costs'!$B$7</f>
        <v>8082.0354799110328</v>
      </c>
      <c r="O311" s="252">
        <f>4*IF(K311&lt;=3,K311*'[3]Base Costs'!$B$8,IF(L311&lt;=3,L311*'[3]Base Costs'!$B$9,'[3]Base Costs'!$B$10*M311))</f>
        <v>2800</v>
      </c>
      <c r="P311" s="252">
        <f>4*C311*'[3]Base Costs'!$B$11</f>
        <v>32020.123699316082</v>
      </c>
      <c r="Q311">
        <f>'[3]Base Costs'!$B$13+'[3]Base Costs'!$B$14</f>
        <v>414</v>
      </c>
      <c r="R311" s="239">
        <f>'[3]Base Costs'!$D$2</f>
        <v>1105.3024868650327</v>
      </c>
      <c r="S311" s="254">
        <f t="shared" si="34"/>
        <v>12401.337966776066</v>
      </c>
    </row>
    <row r="312" spans="1:19" x14ac:dyDescent="0.25">
      <c r="A312" s="248" t="s">
        <v>1003</v>
      </c>
      <c r="B312" s="248" t="s">
        <v>995</v>
      </c>
      <c r="C312" s="249">
        <v>48.899855555000002</v>
      </c>
      <c r="D312" s="250">
        <f>C312*'[3]Base Costs'!$B$5</f>
        <v>48.899855555000002</v>
      </c>
      <c r="E312" s="250">
        <f t="shared" si="28"/>
        <v>7</v>
      </c>
      <c r="F312" s="250">
        <f t="shared" si="29"/>
        <v>2</v>
      </c>
      <c r="G312" s="250">
        <f t="shared" si="30"/>
        <v>1</v>
      </c>
      <c r="H312" s="251">
        <f>4*D312*'[3]Base Costs'!$B$7</f>
        <v>9718.552892422922</v>
      </c>
      <c r="I312" s="252">
        <f>4*IF(E312&lt;=3,E312*'[3]Base Costs'!$B$8,IF(F312&lt;=3,F312*'[3]Base Costs'!$B$9,'[3]Base Costs'!$B$10*G312))</f>
        <v>2800</v>
      </c>
      <c r="J312" s="253">
        <f>C312*'[3]Base Costs'!$B$6</f>
        <v>12.420563310970001</v>
      </c>
      <c r="K312" s="250">
        <f t="shared" si="31"/>
        <v>2</v>
      </c>
      <c r="L312" s="250">
        <f t="shared" si="32"/>
        <v>1</v>
      </c>
      <c r="M312" s="250">
        <f t="shared" si="33"/>
        <v>1</v>
      </c>
      <c r="N312" s="251">
        <f>4*J312*'[3]Base Costs'!$B$7</f>
        <v>2468.5124346754224</v>
      </c>
      <c r="O312" s="252">
        <f>4*IF(K312&lt;=3,K312*'[3]Base Costs'!$B$8,IF(L312&lt;=3,L312*'[3]Base Costs'!$B$9,'[3]Base Costs'!$B$10*M312))</f>
        <v>1000</v>
      </c>
      <c r="P312" s="252">
        <f>4*C312*'[3]Base Costs'!$B$11</f>
        <v>9779.9711110000007</v>
      </c>
      <c r="Q312">
        <f>'[3]Base Costs'!$B$13+'[3]Base Costs'!$B$14</f>
        <v>414</v>
      </c>
      <c r="R312" s="239">
        <f>'[3]Base Costs'!$D$2</f>
        <v>1105.3024868650327</v>
      </c>
      <c r="S312" s="254">
        <f t="shared" si="34"/>
        <v>4987.8149215404555</v>
      </c>
    </row>
    <row r="313" spans="1:19" x14ac:dyDescent="0.25">
      <c r="A313" s="248" t="s">
        <v>1003</v>
      </c>
      <c r="B313" s="248" t="s">
        <v>942</v>
      </c>
      <c r="C313" s="249">
        <v>155.20714591728358</v>
      </c>
      <c r="D313" s="250">
        <f>C313*'[3]Base Costs'!$B$5</f>
        <v>155.20714591728358</v>
      </c>
      <c r="E313" s="250">
        <f t="shared" si="28"/>
        <v>20</v>
      </c>
      <c r="F313" s="250">
        <f t="shared" si="29"/>
        <v>4</v>
      </c>
      <c r="G313" s="250">
        <f t="shared" si="30"/>
        <v>1</v>
      </c>
      <c r="H313" s="251">
        <f>4*D313*'[3]Base Costs'!$B$7</f>
        <v>30846.489008184613</v>
      </c>
      <c r="I313" s="252">
        <f>4*IF(E313&lt;=3,E313*'[3]Base Costs'!$B$8,IF(F313&lt;=3,F313*'[3]Base Costs'!$B$9,'[3]Base Costs'!$B$10*G313))</f>
        <v>4400</v>
      </c>
      <c r="J313" s="253">
        <f>C313*'[3]Base Costs'!$B$6</f>
        <v>39.422615062990033</v>
      </c>
      <c r="K313" s="250">
        <f t="shared" si="31"/>
        <v>5</v>
      </c>
      <c r="L313" s="250">
        <f t="shared" si="32"/>
        <v>1</v>
      </c>
      <c r="M313" s="250">
        <f t="shared" si="33"/>
        <v>1</v>
      </c>
      <c r="N313" s="251">
        <f>4*J313*'[3]Base Costs'!$B$7</f>
        <v>7835.0082080788925</v>
      </c>
      <c r="O313" s="252">
        <f>4*IF(K313&lt;=3,K313*'[3]Base Costs'!$B$8,IF(L313&lt;=3,L313*'[3]Base Costs'!$B$9,'[3]Base Costs'!$B$10*M313))</f>
        <v>1400</v>
      </c>
      <c r="P313" s="252">
        <f>4*C313*'[3]Base Costs'!$B$11</f>
        <v>31041.429183456716</v>
      </c>
      <c r="Q313">
        <f>'[3]Base Costs'!$B$13+'[3]Base Costs'!$B$14</f>
        <v>414</v>
      </c>
      <c r="R313" s="239">
        <f>'[3]Base Costs'!$D$2</f>
        <v>1105.3024868650327</v>
      </c>
      <c r="S313" s="254">
        <f t="shared" si="34"/>
        <v>10754.310694943924</v>
      </c>
    </row>
    <row r="314" spans="1:19" x14ac:dyDescent="0.25">
      <c r="A314" s="248" t="s">
        <v>1003</v>
      </c>
      <c r="B314" s="248" t="s">
        <v>943</v>
      </c>
      <c r="C314" s="249">
        <v>89.021334053638213</v>
      </c>
      <c r="D314" s="250">
        <f>C314*'[3]Base Costs'!$B$5</f>
        <v>89.021334053638213</v>
      </c>
      <c r="E314" s="250">
        <f t="shared" si="28"/>
        <v>12</v>
      </c>
      <c r="F314" s="250">
        <f t="shared" si="29"/>
        <v>3</v>
      </c>
      <c r="G314" s="250">
        <f t="shared" si="30"/>
        <v>1</v>
      </c>
      <c r="H314" s="251">
        <f>4*D314*'[3]Base Costs'!$B$7</f>
        <v>17692.456015156276</v>
      </c>
      <c r="I314" s="252">
        <f>4*IF(E314&lt;=3,E314*'[3]Base Costs'!$B$8,IF(F314&lt;=3,F314*'[3]Base Costs'!$B$9,'[3]Base Costs'!$B$10*G314))</f>
        <v>4200</v>
      </c>
      <c r="J314" s="253">
        <f>C314*'[3]Base Costs'!$B$6</f>
        <v>22.611418849624105</v>
      </c>
      <c r="K314" s="250">
        <f t="shared" si="31"/>
        <v>3</v>
      </c>
      <c r="L314" s="250">
        <f t="shared" si="32"/>
        <v>1</v>
      </c>
      <c r="M314" s="250">
        <f t="shared" si="33"/>
        <v>1</v>
      </c>
      <c r="N314" s="251">
        <f>4*J314*'[3]Base Costs'!$B$7</f>
        <v>4493.8838278496942</v>
      </c>
      <c r="O314" s="252">
        <f>4*IF(K314&lt;=3,K314*'[3]Base Costs'!$B$8,IF(L314&lt;=3,L314*'[3]Base Costs'!$B$9,'[3]Base Costs'!$B$10*M314))</f>
        <v>1500</v>
      </c>
      <c r="P314" s="252">
        <f>4*C314*'[3]Base Costs'!$B$11</f>
        <v>17804.266810727644</v>
      </c>
      <c r="Q314">
        <f>'[3]Base Costs'!$B$13+'[3]Base Costs'!$B$14</f>
        <v>414</v>
      </c>
      <c r="R314" s="239">
        <f>'[3]Base Costs'!$D$2</f>
        <v>1105.3024868650327</v>
      </c>
      <c r="S314" s="254">
        <f t="shared" si="34"/>
        <v>7513.1863147147269</v>
      </c>
    </row>
    <row r="315" spans="1:19" x14ac:dyDescent="0.25">
      <c r="A315" s="248" t="s">
        <v>1003</v>
      </c>
      <c r="B315" s="248" t="s">
        <v>944</v>
      </c>
      <c r="C315" s="249">
        <v>56.076779652284003</v>
      </c>
      <c r="D315" s="250">
        <f>C315*'[3]Base Costs'!$B$5</f>
        <v>56.076779652284003</v>
      </c>
      <c r="E315" s="250">
        <f t="shared" si="28"/>
        <v>8</v>
      </c>
      <c r="F315" s="250">
        <f t="shared" si="29"/>
        <v>2</v>
      </c>
      <c r="G315" s="250">
        <f t="shared" si="30"/>
        <v>1</v>
      </c>
      <c r="H315" s="251">
        <f>4*D315*'[3]Base Costs'!$B$7</f>
        <v>11144.923495213534</v>
      </c>
      <c r="I315" s="252">
        <f>4*IF(E315&lt;=3,E315*'[3]Base Costs'!$B$8,IF(F315&lt;=3,F315*'[3]Base Costs'!$B$9,'[3]Base Costs'!$B$10*G315))</f>
        <v>2800</v>
      </c>
      <c r="J315" s="253">
        <f>C315*'[3]Base Costs'!$B$6</f>
        <v>14.243502031680137</v>
      </c>
      <c r="K315" s="250">
        <f t="shared" si="31"/>
        <v>2</v>
      </c>
      <c r="L315" s="250">
        <f t="shared" si="32"/>
        <v>1</v>
      </c>
      <c r="M315" s="250">
        <f t="shared" si="33"/>
        <v>1</v>
      </c>
      <c r="N315" s="251">
        <f>4*J315*'[3]Base Costs'!$B$7</f>
        <v>2830.8105677842377</v>
      </c>
      <c r="O315" s="252">
        <f>4*IF(K315&lt;=3,K315*'[3]Base Costs'!$B$8,IF(L315&lt;=3,L315*'[3]Base Costs'!$B$9,'[3]Base Costs'!$B$10*M315))</f>
        <v>1000</v>
      </c>
      <c r="P315" s="252">
        <f>4*C315*'[3]Base Costs'!$B$11</f>
        <v>11215.355930456801</v>
      </c>
      <c r="Q315">
        <f>'[3]Base Costs'!$B$13+'[3]Base Costs'!$B$14</f>
        <v>414</v>
      </c>
      <c r="R315" s="239">
        <f>'[3]Base Costs'!$D$2</f>
        <v>1105.3024868650327</v>
      </c>
      <c r="S315" s="254">
        <f t="shared" si="34"/>
        <v>5350.1130546492705</v>
      </c>
    </row>
    <row r="316" spans="1:19" x14ac:dyDescent="0.25">
      <c r="A316" s="248" t="s">
        <v>1003</v>
      </c>
      <c r="B316" s="248" t="s">
        <v>945</v>
      </c>
      <c r="C316" s="249">
        <v>172.02044384582197</v>
      </c>
      <c r="D316" s="250">
        <f>C316*'[3]Base Costs'!$B$5</f>
        <v>172.02044384582197</v>
      </c>
      <c r="E316" s="250">
        <f t="shared" si="28"/>
        <v>22</v>
      </c>
      <c r="F316" s="250">
        <f t="shared" si="29"/>
        <v>5</v>
      </c>
      <c r="G316" s="250">
        <f t="shared" si="30"/>
        <v>2</v>
      </c>
      <c r="H316" s="251">
        <f>4*D316*'[3]Base Costs'!$B$7</f>
        <v>34188.031091694043</v>
      </c>
      <c r="I316" s="252">
        <f>4*IF(E316&lt;=3,E316*'[3]Base Costs'!$B$8,IF(F316&lt;=3,F316*'[3]Base Costs'!$B$9,'[3]Base Costs'!$B$10*G316))</f>
        <v>8800</v>
      </c>
      <c r="J316" s="253">
        <f>C316*'[3]Base Costs'!$B$6</f>
        <v>43.693192736838782</v>
      </c>
      <c r="K316" s="250">
        <f t="shared" si="31"/>
        <v>6</v>
      </c>
      <c r="L316" s="250">
        <f t="shared" si="32"/>
        <v>2</v>
      </c>
      <c r="M316" s="250">
        <f t="shared" si="33"/>
        <v>1</v>
      </c>
      <c r="N316" s="251">
        <f>4*J316*'[3]Base Costs'!$B$7</f>
        <v>8683.7598972902888</v>
      </c>
      <c r="O316" s="252">
        <f>4*IF(K316&lt;=3,K316*'[3]Base Costs'!$B$8,IF(L316&lt;=3,L316*'[3]Base Costs'!$B$9,'[3]Base Costs'!$B$10*M316))</f>
        <v>2800</v>
      </c>
      <c r="P316" s="252">
        <f>4*C316*'[3]Base Costs'!$B$11</f>
        <v>34404.088769164395</v>
      </c>
      <c r="Q316">
        <f>'[3]Base Costs'!$B$13+'[3]Base Costs'!$B$14</f>
        <v>414</v>
      </c>
      <c r="R316" s="239">
        <f>'[3]Base Costs'!$D$2</f>
        <v>1105.3024868650327</v>
      </c>
      <c r="S316" s="254">
        <f t="shared" si="34"/>
        <v>13003.062384155321</v>
      </c>
    </row>
    <row r="317" spans="1:19" x14ac:dyDescent="0.25">
      <c r="A317" s="248" t="s">
        <v>1003</v>
      </c>
      <c r="B317" s="248" t="s">
        <v>946</v>
      </c>
      <c r="C317" s="249">
        <v>239.99304784384373</v>
      </c>
      <c r="D317" s="250">
        <f>C317*'[3]Base Costs'!$B$5</f>
        <v>239.99304784384373</v>
      </c>
      <c r="E317" s="250">
        <f t="shared" si="28"/>
        <v>30</v>
      </c>
      <c r="F317" s="250">
        <f t="shared" si="29"/>
        <v>6</v>
      </c>
      <c r="G317" s="250">
        <f t="shared" si="30"/>
        <v>2</v>
      </c>
      <c r="H317" s="251">
        <f>4*D317*'[3]Base Costs'!$B$7</f>
        <v>47697.178300676882</v>
      </c>
      <c r="I317" s="252">
        <f>4*IF(E317&lt;=3,E317*'[3]Base Costs'!$B$8,IF(F317&lt;=3,F317*'[3]Base Costs'!$B$9,'[3]Base Costs'!$B$10*G317))</f>
        <v>8800</v>
      </c>
      <c r="J317" s="253">
        <f>C317*'[3]Base Costs'!$B$6</f>
        <v>60.95823415233631</v>
      </c>
      <c r="K317" s="250">
        <f t="shared" si="31"/>
        <v>8</v>
      </c>
      <c r="L317" s="250">
        <f t="shared" si="32"/>
        <v>2</v>
      </c>
      <c r="M317" s="250">
        <f t="shared" si="33"/>
        <v>1</v>
      </c>
      <c r="N317" s="251">
        <f>4*J317*'[3]Base Costs'!$B$7</f>
        <v>12115.083288371929</v>
      </c>
      <c r="O317" s="252">
        <f>4*IF(K317&lt;=3,K317*'[3]Base Costs'!$B$8,IF(L317&lt;=3,L317*'[3]Base Costs'!$B$9,'[3]Base Costs'!$B$10*M317))</f>
        <v>2800</v>
      </c>
      <c r="P317" s="252">
        <f>4*C317*'[3]Base Costs'!$B$11</f>
        <v>47998.609568768748</v>
      </c>
      <c r="Q317">
        <f>'[3]Base Costs'!$B$13+'[3]Base Costs'!$B$14</f>
        <v>414</v>
      </c>
      <c r="R317" s="239">
        <f>'[3]Base Costs'!$D$2</f>
        <v>1105.3024868650327</v>
      </c>
      <c r="S317" s="254">
        <f t="shared" si="34"/>
        <v>16434.385775236962</v>
      </c>
    </row>
    <row r="318" spans="1:19" x14ac:dyDescent="0.25">
      <c r="A318" s="248" t="s">
        <v>1003</v>
      </c>
      <c r="B318" s="248" t="s">
        <v>947</v>
      </c>
      <c r="C318" s="249">
        <v>159.50000000000003</v>
      </c>
      <c r="D318" s="250">
        <f>C318*'[3]Base Costs'!$B$5</f>
        <v>159.50000000000003</v>
      </c>
      <c r="E318" s="250">
        <f t="shared" si="28"/>
        <v>20</v>
      </c>
      <c r="F318" s="250">
        <f t="shared" si="29"/>
        <v>4</v>
      </c>
      <c r="G318" s="250">
        <f t="shared" si="30"/>
        <v>1</v>
      </c>
      <c r="H318" s="251">
        <f>4*D318*'[3]Base Costs'!$B$7</f>
        <v>31699.668000000009</v>
      </c>
      <c r="I318" s="252">
        <f>4*IF(E318&lt;=3,E318*'[3]Base Costs'!$B$8,IF(F318&lt;=3,F318*'[3]Base Costs'!$B$9,'[3]Base Costs'!$B$10*G318))</f>
        <v>4400</v>
      </c>
      <c r="J318" s="253">
        <f>C318*'[3]Base Costs'!$B$6</f>
        <v>40.513000000000005</v>
      </c>
      <c r="K318" s="250">
        <f t="shared" si="31"/>
        <v>6</v>
      </c>
      <c r="L318" s="250">
        <f t="shared" si="32"/>
        <v>2</v>
      </c>
      <c r="M318" s="250">
        <f t="shared" si="33"/>
        <v>1</v>
      </c>
      <c r="N318" s="251">
        <f>4*J318*'[3]Base Costs'!$B$7</f>
        <v>8051.7156720000021</v>
      </c>
      <c r="O318" s="252">
        <f>4*IF(K318&lt;=3,K318*'[3]Base Costs'!$B$8,IF(L318&lt;=3,L318*'[3]Base Costs'!$B$9,'[3]Base Costs'!$B$10*M318))</f>
        <v>2800</v>
      </c>
      <c r="P318" s="252">
        <f>4*C318*'[3]Base Costs'!$B$11</f>
        <v>31900.000000000007</v>
      </c>
      <c r="Q318">
        <f>'[3]Base Costs'!$B$13+'[3]Base Costs'!$B$14</f>
        <v>414</v>
      </c>
      <c r="R318" s="239">
        <f>'[3]Base Costs'!$D$2</f>
        <v>1105.3024868650327</v>
      </c>
      <c r="S318" s="254">
        <f t="shared" si="34"/>
        <v>12371.018158865034</v>
      </c>
    </row>
    <row r="319" spans="1:19" x14ac:dyDescent="0.25">
      <c r="A319" s="248" t="s">
        <v>1003</v>
      </c>
      <c r="B319" s="248" t="s">
        <v>948</v>
      </c>
      <c r="C319" s="249">
        <v>130.41190190040251</v>
      </c>
      <c r="D319" s="250">
        <f>C319*'[3]Base Costs'!$B$5</f>
        <v>130.41190190040251</v>
      </c>
      <c r="E319" s="250">
        <f t="shared" si="28"/>
        <v>17</v>
      </c>
      <c r="F319" s="250">
        <f t="shared" si="29"/>
        <v>4</v>
      </c>
      <c r="G319" s="250">
        <f t="shared" si="30"/>
        <v>1</v>
      </c>
      <c r="H319" s="251">
        <f>4*D319*'[3]Base Costs'!$B$7</f>
        <v>25918.583031293601</v>
      </c>
      <c r="I319" s="252">
        <f>4*IF(E319&lt;=3,E319*'[3]Base Costs'!$B$8,IF(F319&lt;=3,F319*'[3]Base Costs'!$B$9,'[3]Base Costs'!$B$10*G319))</f>
        <v>4400</v>
      </c>
      <c r="J319" s="253">
        <f>C319*'[3]Base Costs'!$B$6</f>
        <v>33.124623082702236</v>
      </c>
      <c r="K319" s="250">
        <f t="shared" si="31"/>
        <v>5</v>
      </c>
      <c r="L319" s="250">
        <f t="shared" si="32"/>
        <v>1</v>
      </c>
      <c r="M319" s="250">
        <f t="shared" si="33"/>
        <v>1</v>
      </c>
      <c r="N319" s="251">
        <f>4*J319*'[3]Base Costs'!$B$7</f>
        <v>6583.3200899485737</v>
      </c>
      <c r="O319" s="252">
        <f>4*IF(K319&lt;=3,K319*'[3]Base Costs'!$B$8,IF(L319&lt;=3,L319*'[3]Base Costs'!$B$9,'[3]Base Costs'!$B$10*M319))</f>
        <v>1400</v>
      </c>
      <c r="P319" s="252">
        <f>4*C319*'[3]Base Costs'!$B$11</f>
        <v>26082.380380080504</v>
      </c>
      <c r="Q319">
        <f>'[3]Base Costs'!$B$13+'[3]Base Costs'!$B$14</f>
        <v>414</v>
      </c>
      <c r="R319" s="239">
        <f>'[3]Base Costs'!$D$2</f>
        <v>1105.3024868650327</v>
      </c>
      <c r="S319" s="254">
        <f t="shared" si="34"/>
        <v>9502.6225768136064</v>
      </c>
    </row>
    <row r="320" spans="1:19" x14ac:dyDescent="0.25">
      <c r="A320" s="248" t="s">
        <v>1003</v>
      </c>
      <c r="B320" s="248" t="s">
        <v>949</v>
      </c>
      <c r="C320" s="249">
        <v>255.00247580000001</v>
      </c>
      <c r="D320" s="250">
        <f>C320*'[3]Base Costs'!$B$5</f>
        <v>255.00247580000001</v>
      </c>
      <c r="E320" s="250">
        <f t="shared" si="28"/>
        <v>32</v>
      </c>
      <c r="F320" s="250">
        <f t="shared" si="29"/>
        <v>7</v>
      </c>
      <c r="G320" s="250">
        <f t="shared" si="30"/>
        <v>2</v>
      </c>
      <c r="H320" s="251">
        <f>4*D320*'[3]Base Costs'!$B$7</f>
        <v>50680.21205039521</v>
      </c>
      <c r="I320" s="252">
        <f>4*IF(E320&lt;=3,E320*'[3]Base Costs'!$B$8,IF(F320&lt;=3,F320*'[3]Base Costs'!$B$9,'[3]Base Costs'!$B$10*G320))</f>
        <v>8800</v>
      </c>
      <c r="J320" s="253">
        <f>C320*'[3]Base Costs'!$B$6</f>
        <v>64.770628853200009</v>
      </c>
      <c r="K320" s="250">
        <f t="shared" si="31"/>
        <v>9</v>
      </c>
      <c r="L320" s="250">
        <f t="shared" si="32"/>
        <v>2</v>
      </c>
      <c r="M320" s="250">
        <f t="shared" si="33"/>
        <v>1</v>
      </c>
      <c r="N320" s="251">
        <f>4*J320*'[3]Base Costs'!$B$7</f>
        <v>12872.773860800384</v>
      </c>
      <c r="O320" s="252">
        <f>4*IF(K320&lt;=3,K320*'[3]Base Costs'!$B$8,IF(L320&lt;=3,L320*'[3]Base Costs'!$B$9,'[3]Base Costs'!$B$10*M320))</f>
        <v>2800</v>
      </c>
      <c r="P320" s="252">
        <f>4*C320*'[3]Base Costs'!$B$11</f>
        <v>51000.495160000006</v>
      </c>
      <c r="Q320">
        <f>'[3]Base Costs'!$B$13+'[3]Base Costs'!$B$14</f>
        <v>414</v>
      </c>
      <c r="R320" s="239">
        <f>'[3]Base Costs'!$D$2</f>
        <v>1105.3024868650327</v>
      </c>
      <c r="S320" s="254">
        <f t="shared" si="34"/>
        <v>17192.076347665417</v>
      </c>
    </row>
    <row r="321" spans="1:19" x14ac:dyDescent="0.25">
      <c r="A321" s="248" t="s">
        <v>1003</v>
      </c>
      <c r="B321" s="248" t="s">
        <v>996</v>
      </c>
      <c r="C321" s="249">
        <v>106.66666666666666</v>
      </c>
      <c r="D321" s="250">
        <f>C321*'[3]Base Costs'!$B$5</f>
        <v>106.66666666666666</v>
      </c>
      <c r="E321" s="250">
        <f t="shared" si="28"/>
        <v>14</v>
      </c>
      <c r="F321" s="250">
        <f t="shared" si="29"/>
        <v>3</v>
      </c>
      <c r="G321" s="250">
        <f t="shared" si="30"/>
        <v>1</v>
      </c>
      <c r="H321" s="251">
        <f>4*D321*'[3]Base Costs'!$B$7</f>
        <v>21199.360000000001</v>
      </c>
      <c r="I321" s="252">
        <f>4*IF(E321&lt;=3,E321*'[3]Base Costs'!$B$8,IF(F321&lt;=3,F321*'[3]Base Costs'!$B$9,'[3]Base Costs'!$B$10*G321))</f>
        <v>4200</v>
      </c>
      <c r="J321" s="253">
        <f>C321*'[3]Base Costs'!$B$6</f>
        <v>27.09333333333333</v>
      </c>
      <c r="K321" s="250">
        <f t="shared" si="31"/>
        <v>4</v>
      </c>
      <c r="L321" s="250">
        <f t="shared" si="32"/>
        <v>1</v>
      </c>
      <c r="M321" s="250">
        <f t="shared" si="33"/>
        <v>1</v>
      </c>
      <c r="N321" s="251">
        <f>4*J321*'[3]Base Costs'!$B$7</f>
        <v>5384.6374400000004</v>
      </c>
      <c r="O321" s="252">
        <f>4*IF(K321&lt;=3,K321*'[3]Base Costs'!$B$8,IF(L321&lt;=3,L321*'[3]Base Costs'!$B$9,'[3]Base Costs'!$B$10*M321))</f>
        <v>1400</v>
      </c>
      <c r="P321" s="252">
        <f>4*C321*'[3]Base Costs'!$B$11</f>
        <v>21333.333333333332</v>
      </c>
      <c r="Q321">
        <f>'[3]Base Costs'!$B$13+'[3]Base Costs'!$B$14</f>
        <v>414</v>
      </c>
      <c r="R321" s="239">
        <f>'[3]Base Costs'!$D$2</f>
        <v>1105.3024868650327</v>
      </c>
      <c r="S321" s="254">
        <f t="shared" si="34"/>
        <v>8303.9399268650341</v>
      </c>
    </row>
    <row r="322" spans="1:19" x14ac:dyDescent="0.25">
      <c r="A322" s="248" t="s">
        <v>1003</v>
      </c>
      <c r="B322" s="248" t="s">
        <v>950</v>
      </c>
      <c r="C322" s="249">
        <v>50.200369170000002</v>
      </c>
      <c r="D322" s="250">
        <f>C322*'[3]Base Costs'!$B$5</f>
        <v>50.200369170000002</v>
      </c>
      <c r="E322" s="250">
        <f t="shared" si="28"/>
        <v>7</v>
      </c>
      <c r="F322" s="250">
        <f t="shared" si="29"/>
        <v>2</v>
      </c>
      <c r="G322" s="250">
        <f t="shared" si="30"/>
        <v>1</v>
      </c>
      <c r="H322" s="251">
        <f>4*D322*'[3]Base Costs'!$B$7</f>
        <v>9977.0221703224815</v>
      </c>
      <c r="I322" s="252">
        <f>4*IF(E322&lt;=3,E322*'[3]Base Costs'!$B$8,IF(F322&lt;=3,F322*'[3]Base Costs'!$B$9,'[3]Base Costs'!$B$10*G322))</f>
        <v>2800</v>
      </c>
      <c r="J322" s="253">
        <f>C322*'[3]Base Costs'!$B$6</f>
        <v>12.750893769180001</v>
      </c>
      <c r="K322" s="250">
        <f t="shared" si="31"/>
        <v>2</v>
      </c>
      <c r="L322" s="250">
        <f t="shared" si="32"/>
        <v>1</v>
      </c>
      <c r="M322" s="250">
        <f t="shared" si="33"/>
        <v>1</v>
      </c>
      <c r="N322" s="251">
        <f>4*J322*'[3]Base Costs'!$B$7</f>
        <v>2534.1636312619103</v>
      </c>
      <c r="O322" s="252">
        <f>4*IF(K322&lt;=3,K322*'[3]Base Costs'!$B$8,IF(L322&lt;=3,L322*'[3]Base Costs'!$B$9,'[3]Base Costs'!$B$10*M322))</f>
        <v>1000</v>
      </c>
      <c r="P322" s="252">
        <f>4*C322*'[3]Base Costs'!$B$11</f>
        <v>10040.073834000001</v>
      </c>
      <c r="Q322">
        <f>'[3]Base Costs'!$B$13+'[3]Base Costs'!$B$14</f>
        <v>414</v>
      </c>
      <c r="R322" s="239">
        <f>'[3]Base Costs'!$D$2</f>
        <v>1105.3024868650327</v>
      </c>
      <c r="S322" s="254">
        <f t="shared" si="34"/>
        <v>5053.466118126943</v>
      </c>
    </row>
    <row r="323" spans="1:19" x14ac:dyDescent="0.25">
      <c r="A323" s="248" t="s">
        <v>1003</v>
      </c>
      <c r="B323" s="248" t="s">
        <v>951</v>
      </c>
      <c r="C323" s="249">
        <v>132.83112267411974</v>
      </c>
      <c r="D323" s="250">
        <f>C323*'[3]Base Costs'!$B$5</f>
        <v>132.83112267411974</v>
      </c>
      <c r="E323" s="250">
        <f t="shared" si="28"/>
        <v>17</v>
      </c>
      <c r="F323" s="250">
        <f t="shared" si="29"/>
        <v>4</v>
      </c>
      <c r="G323" s="250">
        <f t="shared" si="30"/>
        <v>1</v>
      </c>
      <c r="H323" s="251">
        <f>4*D323*'[3]Base Costs'!$B$7</f>
        <v>26399.388644745257</v>
      </c>
      <c r="I323" s="252">
        <f>4*IF(E323&lt;=3,E323*'[3]Base Costs'!$B$8,IF(F323&lt;=3,F323*'[3]Base Costs'!$B$9,'[3]Base Costs'!$B$10*G323))</f>
        <v>4400</v>
      </c>
      <c r="J323" s="253">
        <f>C323*'[3]Base Costs'!$B$6</f>
        <v>33.739105159226412</v>
      </c>
      <c r="K323" s="250">
        <f t="shared" si="31"/>
        <v>5</v>
      </c>
      <c r="L323" s="250">
        <f t="shared" si="32"/>
        <v>1</v>
      </c>
      <c r="M323" s="250">
        <f t="shared" si="33"/>
        <v>1</v>
      </c>
      <c r="N323" s="251">
        <f>4*J323*'[3]Base Costs'!$B$7</f>
        <v>6705.4447157652949</v>
      </c>
      <c r="O323" s="252">
        <f>4*IF(K323&lt;=3,K323*'[3]Base Costs'!$B$8,IF(L323&lt;=3,L323*'[3]Base Costs'!$B$9,'[3]Base Costs'!$B$10*M323))</f>
        <v>1400</v>
      </c>
      <c r="P323" s="252">
        <f>4*C323*'[3]Base Costs'!$B$11</f>
        <v>26566.224534823948</v>
      </c>
      <c r="Q323">
        <f>'[3]Base Costs'!$B$13+'[3]Base Costs'!$B$14</f>
        <v>414</v>
      </c>
      <c r="R323" s="239">
        <f>'[3]Base Costs'!$D$2</f>
        <v>1105.3024868650327</v>
      </c>
      <c r="S323" s="254">
        <f t="shared" si="34"/>
        <v>9624.7472026303276</v>
      </c>
    </row>
    <row r="324" spans="1:19" x14ac:dyDescent="0.25">
      <c r="A324" s="248" t="s">
        <v>1003</v>
      </c>
      <c r="B324" s="248" t="s">
        <v>952</v>
      </c>
      <c r="C324" s="249">
        <v>297.00266554500001</v>
      </c>
      <c r="D324" s="250">
        <f>C324*'[3]Base Costs'!$B$5</f>
        <v>297.00266554500001</v>
      </c>
      <c r="E324" s="250">
        <f t="shared" ref="E324:E387" si="35">ROUNDUP(D324/8,0)</f>
        <v>38</v>
      </c>
      <c r="F324" s="250">
        <f t="shared" ref="F324:F387" si="36">ROUNDUP(D324/40,0)</f>
        <v>8</v>
      </c>
      <c r="G324" s="250">
        <f t="shared" ref="G324:G387" si="37">ROUNDUP(D324/(40*4),0)</f>
        <v>2</v>
      </c>
      <c r="H324" s="251">
        <f>4*D324*'[3]Base Costs'!$B$7</f>
        <v>59027.497761075494</v>
      </c>
      <c r="I324" s="252">
        <f>4*IF(E324&lt;=3,E324*'[3]Base Costs'!$B$8,IF(F324&lt;=3,F324*'[3]Base Costs'!$B$9,'[3]Base Costs'!$B$10*G324))</f>
        <v>8800</v>
      </c>
      <c r="J324" s="253">
        <f>C324*'[3]Base Costs'!$B$6</f>
        <v>75.438677048430009</v>
      </c>
      <c r="K324" s="250">
        <f t="shared" ref="K324:K387" si="38">ROUNDUP(J324/8,0)</f>
        <v>10</v>
      </c>
      <c r="L324" s="250">
        <f t="shared" ref="L324:L387" si="39">ROUNDUP(J324/40,0)</f>
        <v>2</v>
      </c>
      <c r="M324" s="250">
        <f t="shared" ref="M324:M387" si="40">ROUNDUP(J324/(40*4),0)</f>
        <v>1</v>
      </c>
      <c r="N324" s="251">
        <f>4*J324*'[3]Base Costs'!$B$7</f>
        <v>14992.984431313176</v>
      </c>
      <c r="O324" s="252">
        <f>4*IF(K324&lt;=3,K324*'[3]Base Costs'!$B$8,IF(L324&lt;=3,L324*'[3]Base Costs'!$B$9,'[3]Base Costs'!$B$10*M324))</f>
        <v>2800</v>
      </c>
      <c r="P324" s="252">
        <f>4*C324*'[3]Base Costs'!$B$11</f>
        <v>59400.533109000004</v>
      </c>
      <c r="Q324">
        <f>'[3]Base Costs'!$B$13+'[3]Base Costs'!$B$14</f>
        <v>414</v>
      </c>
      <c r="R324" s="239">
        <f>'[3]Base Costs'!$D$2</f>
        <v>1105.3024868650327</v>
      </c>
      <c r="S324" s="254">
        <f t="shared" ref="S324:S387" si="41">R324+Q324+N324+O324</f>
        <v>19312.286918178208</v>
      </c>
    </row>
    <row r="325" spans="1:19" x14ac:dyDescent="0.25">
      <c r="A325" s="248" t="s">
        <v>1003</v>
      </c>
      <c r="B325" s="248" t="s">
        <v>953</v>
      </c>
      <c r="C325" s="249">
        <v>45.800000000000018</v>
      </c>
      <c r="D325" s="250">
        <f>C325*'[3]Base Costs'!$B$5</f>
        <v>45.800000000000018</v>
      </c>
      <c r="E325" s="250">
        <f t="shared" si="35"/>
        <v>6</v>
      </c>
      <c r="F325" s="250">
        <f t="shared" si="36"/>
        <v>2</v>
      </c>
      <c r="G325" s="250">
        <f t="shared" si="37"/>
        <v>1</v>
      </c>
      <c r="H325" s="251">
        <f>4*D325*'[3]Base Costs'!$B$7</f>
        <v>9102.4752000000044</v>
      </c>
      <c r="I325" s="252">
        <f>4*IF(E325&lt;=3,E325*'[3]Base Costs'!$B$8,IF(F325&lt;=3,F325*'[3]Base Costs'!$B$9,'[3]Base Costs'!$B$10*G325))</f>
        <v>2800</v>
      </c>
      <c r="J325" s="253">
        <f>C325*'[3]Base Costs'!$B$6</f>
        <v>11.633200000000004</v>
      </c>
      <c r="K325" s="250">
        <f t="shared" si="38"/>
        <v>2</v>
      </c>
      <c r="L325" s="250">
        <f t="shared" si="39"/>
        <v>1</v>
      </c>
      <c r="M325" s="250">
        <f t="shared" si="40"/>
        <v>1</v>
      </c>
      <c r="N325" s="251">
        <f>4*J325*'[3]Base Costs'!$B$7</f>
        <v>2312.0287008000009</v>
      </c>
      <c r="O325" s="252">
        <f>4*IF(K325&lt;=3,K325*'[3]Base Costs'!$B$8,IF(L325&lt;=3,L325*'[3]Base Costs'!$B$9,'[3]Base Costs'!$B$10*M325))</f>
        <v>1000</v>
      </c>
      <c r="P325" s="252">
        <f>4*C325*'[3]Base Costs'!$B$11</f>
        <v>9160.0000000000036</v>
      </c>
      <c r="Q325">
        <f>'[3]Base Costs'!$B$13+'[3]Base Costs'!$B$14</f>
        <v>414</v>
      </c>
      <c r="R325" s="239">
        <f>'[3]Base Costs'!$D$2</f>
        <v>1105.3024868650327</v>
      </c>
      <c r="S325" s="254">
        <f t="shared" si="41"/>
        <v>4831.3311876650332</v>
      </c>
    </row>
    <row r="326" spans="1:19" x14ac:dyDescent="0.25">
      <c r="A326" s="248" t="s">
        <v>1003</v>
      </c>
      <c r="B326" s="248" t="s">
        <v>954</v>
      </c>
      <c r="C326" s="249">
        <v>49.714771159856973</v>
      </c>
      <c r="D326" s="250">
        <f>C326*'[3]Base Costs'!$B$5</f>
        <v>49.714771159856973</v>
      </c>
      <c r="E326" s="250">
        <f t="shared" si="35"/>
        <v>7</v>
      </c>
      <c r="F326" s="250">
        <f t="shared" si="36"/>
        <v>2</v>
      </c>
      <c r="G326" s="250">
        <f t="shared" si="37"/>
        <v>1</v>
      </c>
      <c r="H326" s="251">
        <f>4*D326*'[3]Base Costs'!$B$7</f>
        <v>9880.5124793946161</v>
      </c>
      <c r="I326" s="252">
        <f>4*IF(E326&lt;=3,E326*'[3]Base Costs'!$B$8,IF(F326&lt;=3,F326*'[3]Base Costs'!$B$9,'[3]Base Costs'!$B$10*G326))</f>
        <v>2800</v>
      </c>
      <c r="J326" s="253">
        <f>C326*'[3]Base Costs'!$B$6</f>
        <v>12.627551874603672</v>
      </c>
      <c r="K326" s="250">
        <f t="shared" si="38"/>
        <v>2</v>
      </c>
      <c r="L326" s="250">
        <f t="shared" si="39"/>
        <v>1</v>
      </c>
      <c r="M326" s="250">
        <f t="shared" si="40"/>
        <v>1</v>
      </c>
      <c r="N326" s="251">
        <f>4*J326*'[3]Base Costs'!$B$7</f>
        <v>2509.6501697662325</v>
      </c>
      <c r="O326" s="252">
        <f>4*IF(K326&lt;=3,K326*'[3]Base Costs'!$B$8,IF(L326&lt;=3,L326*'[3]Base Costs'!$B$9,'[3]Base Costs'!$B$10*M326))</f>
        <v>1000</v>
      </c>
      <c r="P326" s="252">
        <f>4*C326*'[3]Base Costs'!$B$11</f>
        <v>9942.9542319713946</v>
      </c>
      <c r="Q326">
        <f>'[3]Base Costs'!$B$13+'[3]Base Costs'!$B$14</f>
        <v>414</v>
      </c>
      <c r="R326" s="239">
        <f>'[3]Base Costs'!$D$2</f>
        <v>1105.3024868650327</v>
      </c>
      <c r="S326" s="254">
        <f t="shared" si="41"/>
        <v>5028.9526566312652</v>
      </c>
    </row>
    <row r="327" spans="1:19" x14ac:dyDescent="0.25">
      <c r="A327" s="248" t="s">
        <v>1003</v>
      </c>
      <c r="B327" s="248" t="s">
        <v>955</v>
      </c>
      <c r="C327" s="249">
        <v>109.54609439000001</v>
      </c>
      <c r="D327" s="250">
        <f>C327*'[3]Base Costs'!$B$5</f>
        <v>109.54609439000001</v>
      </c>
      <c r="E327" s="250">
        <f t="shared" si="35"/>
        <v>14</v>
      </c>
      <c r="F327" s="250">
        <f t="shared" si="36"/>
        <v>3</v>
      </c>
      <c r="G327" s="250">
        <f t="shared" si="37"/>
        <v>1</v>
      </c>
      <c r="H327" s="251">
        <f>4*D327*'[3]Base Costs'!$B$7</f>
        <v>21771.628983446164</v>
      </c>
      <c r="I327" s="252">
        <f>4*IF(E327&lt;=3,E327*'[3]Base Costs'!$B$8,IF(F327&lt;=3,F327*'[3]Base Costs'!$B$9,'[3]Base Costs'!$B$10*G327))</f>
        <v>4200</v>
      </c>
      <c r="J327" s="253">
        <f>C327*'[3]Base Costs'!$B$6</f>
        <v>27.824707975060001</v>
      </c>
      <c r="K327" s="250">
        <f t="shared" si="38"/>
        <v>4</v>
      </c>
      <c r="L327" s="250">
        <f t="shared" si="39"/>
        <v>1</v>
      </c>
      <c r="M327" s="250">
        <f t="shared" si="40"/>
        <v>1</v>
      </c>
      <c r="N327" s="251">
        <f>4*J327*'[3]Base Costs'!$B$7</f>
        <v>5529.9937617953256</v>
      </c>
      <c r="O327" s="252">
        <f>4*IF(K327&lt;=3,K327*'[3]Base Costs'!$B$8,IF(L327&lt;=3,L327*'[3]Base Costs'!$B$9,'[3]Base Costs'!$B$10*M327))</f>
        <v>1400</v>
      </c>
      <c r="P327" s="252">
        <f>4*C327*'[3]Base Costs'!$B$11</f>
        <v>21909.218878</v>
      </c>
      <c r="Q327">
        <f>'[3]Base Costs'!$B$13+'[3]Base Costs'!$B$14</f>
        <v>414</v>
      </c>
      <c r="R327" s="239">
        <f>'[3]Base Costs'!$D$2</f>
        <v>1105.3024868650327</v>
      </c>
      <c r="S327" s="254">
        <f t="shared" si="41"/>
        <v>8449.2962486603574</v>
      </c>
    </row>
    <row r="328" spans="1:19" x14ac:dyDescent="0.25">
      <c r="A328" s="248" t="s">
        <v>1003</v>
      </c>
      <c r="B328" s="248" t="s">
        <v>956</v>
      </c>
      <c r="C328" s="249">
        <v>26.985074626865668</v>
      </c>
      <c r="D328" s="250">
        <f>C328*'[3]Base Costs'!$B$5</f>
        <v>26.985074626865668</v>
      </c>
      <c r="E328" s="250">
        <f t="shared" si="35"/>
        <v>4</v>
      </c>
      <c r="F328" s="250">
        <f t="shared" si="36"/>
        <v>1</v>
      </c>
      <c r="G328" s="250">
        <f t="shared" si="37"/>
        <v>1</v>
      </c>
      <c r="H328" s="251">
        <f>4*D328*'[3]Base Costs'!$B$7</f>
        <v>5363.1216716417912</v>
      </c>
      <c r="I328" s="252">
        <f>4*IF(E328&lt;=3,E328*'[3]Base Costs'!$B$8,IF(F328&lt;=3,F328*'[3]Base Costs'!$B$9,'[3]Base Costs'!$B$10*G328))</f>
        <v>1400</v>
      </c>
      <c r="J328" s="253">
        <f>C328*'[3]Base Costs'!$B$6</f>
        <v>6.8542089552238794</v>
      </c>
      <c r="K328" s="250">
        <f t="shared" si="38"/>
        <v>1</v>
      </c>
      <c r="L328" s="250">
        <f t="shared" si="39"/>
        <v>1</v>
      </c>
      <c r="M328" s="250">
        <f t="shared" si="40"/>
        <v>1</v>
      </c>
      <c r="N328" s="251">
        <f>4*J328*'[3]Base Costs'!$B$7</f>
        <v>1362.2329045970148</v>
      </c>
      <c r="O328" s="252">
        <f>4*IF(K328&lt;=3,K328*'[3]Base Costs'!$B$8,IF(L328&lt;=3,L328*'[3]Base Costs'!$B$9,'[3]Base Costs'!$B$10*M328))</f>
        <v>500</v>
      </c>
      <c r="P328" s="252">
        <f>4*C328*'[3]Base Costs'!$B$11</f>
        <v>5397.0149253731333</v>
      </c>
      <c r="Q328">
        <f>'[3]Base Costs'!$B$13+'[3]Base Costs'!$B$14</f>
        <v>414</v>
      </c>
      <c r="R328" s="239">
        <f>'[3]Base Costs'!$D$2</f>
        <v>1105.3024868650327</v>
      </c>
      <c r="S328" s="254">
        <f t="shared" si="41"/>
        <v>3381.5353914620473</v>
      </c>
    </row>
    <row r="329" spans="1:19" x14ac:dyDescent="0.25">
      <c r="A329" s="248" t="s">
        <v>1003</v>
      </c>
      <c r="B329" s="248" t="s">
        <v>957</v>
      </c>
      <c r="C329" s="249">
        <v>119.81325738502382</v>
      </c>
      <c r="D329" s="250">
        <f>C329*'[3]Base Costs'!$B$5</f>
        <v>119.81325738502382</v>
      </c>
      <c r="E329" s="250">
        <f t="shared" si="35"/>
        <v>15</v>
      </c>
      <c r="F329" s="250">
        <f t="shared" si="36"/>
        <v>3</v>
      </c>
      <c r="G329" s="250">
        <f t="shared" si="37"/>
        <v>1</v>
      </c>
      <c r="H329" s="251">
        <f>4*D329*'[3]Base Costs'!$B$7</f>
        <v>23812.166025729177</v>
      </c>
      <c r="I329" s="252">
        <f>4*IF(E329&lt;=3,E329*'[3]Base Costs'!$B$8,IF(F329&lt;=3,F329*'[3]Base Costs'!$B$9,'[3]Base Costs'!$B$10*G329))</f>
        <v>4200</v>
      </c>
      <c r="J329" s="253">
        <f>C329*'[3]Base Costs'!$B$6</f>
        <v>30.432567375796051</v>
      </c>
      <c r="K329" s="250">
        <f t="shared" si="38"/>
        <v>4</v>
      </c>
      <c r="L329" s="250">
        <f t="shared" si="39"/>
        <v>1</v>
      </c>
      <c r="M329" s="250">
        <f t="shared" si="40"/>
        <v>1</v>
      </c>
      <c r="N329" s="251">
        <f>4*J329*'[3]Base Costs'!$B$7</f>
        <v>6048.2901705352115</v>
      </c>
      <c r="O329" s="252">
        <f>4*IF(K329&lt;=3,K329*'[3]Base Costs'!$B$8,IF(L329&lt;=3,L329*'[3]Base Costs'!$B$9,'[3]Base Costs'!$B$10*M329))</f>
        <v>1400</v>
      </c>
      <c r="P329" s="252">
        <f>4*C329*'[3]Base Costs'!$B$11</f>
        <v>23962.651477004765</v>
      </c>
      <c r="Q329">
        <f>'[3]Base Costs'!$B$13+'[3]Base Costs'!$B$14</f>
        <v>414</v>
      </c>
      <c r="R329" s="239">
        <f>'[3]Base Costs'!$D$2</f>
        <v>1105.3024868650327</v>
      </c>
      <c r="S329" s="254">
        <f t="shared" si="41"/>
        <v>8967.5926574002442</v>
      </c>
    </row>
    <row r="330" spans="1:19" x14ac:dyDescent="0.25">
      <c r="A330" s="248" t="s">
        <v>1003</v>
      </c>
      <c r="B330" s="248" t="s">
        <v>958</v>
      </c>
      <c r="C330" s="249">
        <v>202.8781516606937</v>
      </c>
      <c r="D330" s="250">
        <f>C330*'[3]Base Costs'!$B$5</f>
        <v>202.8781516606937</v>
      </c>
      <c r="E330" s="250">
        <f t="shared" si="35"/>
        <v>26</v>
      </c>
      <c r="F330" s="250">
        <f t="shared" si="36"/>
        <v>6</v>
      </c>
      <c r="G330" s="250">
        <f t="shared" si="37"/>
        <v>2</v>
      </c>
      <c r="H330" s="251">
        <f>4*D330*'[3]Base Costs'!$B$7</f>
        <v>40320.815373652913</v>
      </c>
      <c r="I330" s="252">
        <f>4*IF(E330&lt;=3,E330*'[3]Base Costs'!$B$8,IF(F330&lt;=3,F330*'[3]Base Costs'!$B$9,'[3]Base Costs'!$B$10*G330))</f>
        <v>8800</v>
      </c>
      <c r="J330" s="253">
        <f>C330*'[3]Base Costs'!$B$6</f>
        <v>51.531050521816198</v>
      </c>
      <c r="K330" s="250">
        <f t="shared" si="38"/>
        <v>7</v>
      </c>
      <c r="L330" s="250">
        <f t="shared" si="39"/>
        <v>2</v>
      </c>
      <c r="M330" s="250">
        <f t="shared" si="40"/>
        <v>1</v>
      </c>
      <c r="N330" s="251">
        <f>4*J330*'[3]Base Costs'!$B$7</f>
        <v>10241.487104907839</v>
      </c>
      <c r="O330" s="252">
        <f>4*IF(K330&lt;=3,K330*'[3]Base Costs'!$B$8,IF(L330&lt;=3,L330*'[3]Base Costs'!$B$9,'[3]Base Costs'!$B$10*M330))</f>
        <v>2800</v>
      </c>
      <c r="P330" s="252">
        <f>4*C330*'[3]Base Costs'!$B$11</f>
        <v>40575.630332138739</v>
      </c>
      <c r="Q330">
        <f>'[3]Base Costs'!$B$13+'[3]Base Costs'!$B$14</f>
        <v>414</v>
      </c>
      <c r="R330" s="239">
        <f>'[3]Base Costs'!$D$2</f>
        <v>1105.3024868650327</v>
      </c>
      <c r="S330" s="254">
        <f t="shared" si="41"/>
        <v>14560.789591772871</v>
      </c>
    </row>
    <row r="331" spans="1:19" x14ac:dyDescent="0.25">
      <c r="A331" s="248" t="s">
        <v>1003</v>
      </c>
      <c r="B331" s="248" t="s">
        <v>959</v>
      </c>
      <c r="C331" s="249">
        <v>89.019733196824646</v>
      </c>
      <c r="D331" s="250">
        <f>C331*'[3]Base Costs'!$B$5</f>
        <v>89.019733196824646</v>
      </c>
      <c r="E331" s="250">
        <f t="shared" si="35"/>
        <v>12</v>
      </c>
      <c r="F331" s="250">
        <f t="shared" si="36"/>
        <v>3</v>
      </c>
      <c r="G331" s="250">
        <f t="shared" si="37"/>
        <v>1</v>
      </c>
      <c r="H331" s="251">
        <f>4*D331*'[3]Base Costs'!$B$7</f>
        <v>17692.137854469718</v>
      </c>
      <c r="I331" s="252">
        <f>4*IF(E331&lt;=3,E331*'[3]Base Costs'!$B$8,IF(F331&lt;=3,F331*'[3]Base Costs'!$B$9,'[3]Base Costs'!$B$10*G331))</f>
        <v>4200</v>
      </c>
      <c r="J331" s="253">
        <f>C331*'[3]Base Costs'!$B$6</f>
        <v>22.61101223199346</v>
      </c>
      <c r="K331" s="250">
        <f t="shared" si="38"/>
        <v>3</v>
      </c>
      <c r="L331" s="250">
        <f t="shared" si="39"/>
        <v>1</v>
      </c>
      <c r="M331" s="250">
        <f t="shared" si="40"/>
        <v>1</v>
      </c>
      <c r="N331" s="251">
        <f>4*J331*'[3]Base Costs'!$B$7</f>
        <v>4493.8030150353088</v>
      </c>
      <c r="O331" s="252">
        <f>4*IF(K331&lt;=3,K331*'[3]Base Costs'!$B$8,IF(L331&lt;=3,L331*'[3]Base Costs'!$B$9,'[3]Base Costs'!$B$10*M331))</f>
        <v>1500</v>
      </c>
      <c r="P331" s="252">
        <f>4*C331*'[3]Base Costs'!$B$11</f>
        <v>17803.946639364931</v>
      </c>
      <c r="Q331">
        <f>'[3]Base Costs'!$B$13+'[3]Base Costs'!$B$14</f>
        <v>414</v>
      </c>
      <c r="R331" s="239">
        <f>'[3]Base Costs'!$D$2</f>
        <v>1105.3024868650327</v>
      </c>
      <c r="S331" s="254">
        <f t="shared" si="41"/>
        <v>7513.1055019003416</v>
      </c>
    </row>
    <row r="332" spans="1:19" x14ac:dyDescent="0.25">
      <c r="A332" s="248" t="s">
        <v>1003</v>
      </c>
      <c r="B332" s="248" t="s">
        <v>960</v>
      </c>
      <c r="C332" s="249">
        <v>113.65265503676936</v>
      </c>
      <c r="D332" s="250">
        <f>C332*'[3]Base Costs'!$B$5</f>
        <v>113.65265503676936</v>
      </c>
      <c r="E332" s="250">
        <f t="shared" si="35"/>
        <v>15</v>
      </c>
      <c r="F332" s="250">
        <f t="shared" si="36"/>
        <v>3</v>
      </c>
      <c r="G332" s="250">
        <f t="shared" si="37"/>
        <v>1</v>
      </c>
      <c r="H332" s="251">
        <f>4*D332*'[3]Base Costs'!$B$7</f>
        <v>22587.783272627694</v>
      </c>
      <c r="I332" s="252">
        <f>4*IF(E332&lt;=3,E332*'[3]Base Costs'!$B$8,IF(F332&lt;=3,F332*'[3]Base Costs'!$B$9,'[3]Base Costs'!$B$10*G332))</f>
        <v>4200</v>
      </c>
      <c r="J332" s="253">
        <f>C332*'[3]Base Costs'!$B$6</f>
        <v>28.867774379339419</v>
      </c>
      <c r="K332" s="250">
        <f t="shared" si="38"/>
        <v>4</v>
      </c>
      <c r="L332" s="250">
        <f t="shared" si="39"/>
        <v>1</v>
      </c>
      <c r="M332" s="250">
        <f t="shared" si="40"/>
        <v>1</v>
      </c>
      <c r="N332" s="251">
        <f>4*J332*'[3]Base Costs'!$B$7</f>
        <v>5737.2969512474347</v>
      </c>
      <c r="O332" s="252">
        <f>4*IF(K332&lt;=3,K332*'[3]Base Costs'!$B$8,IF(L332&lt;=3,L332*'[3]Base Costs'!$B$9,'[3]Base Costs'!$B$10*M332))</f>
        <v>1400</v>
      </c>
      <c r="P332" s="252">
        <f>4*C332*'[3]Base Costs'!$B$11</f>
        <v>22730.531007353871</v>
      </c>
      <c r="Q332">
        <f>'[3]Base Costs'!$B$13+'[3]Base Costs'!$B$14</f>
        <v>414</v>
      </c>
      <c r="R332" s="239">
        <f>'[3]Base Costs'!$D$2</f>
        <v>1105.3024868650327</v>
      </c>
      <c r="S332" s="254">
        <f t="shared" si="41"/>
        <v>8656.5994381124674</v>
      </c>
    </row>
    <row r="333" spans="1:19" x14ac:dyDescent="0.25">
      <c r="A333" s="248" t="s">
        <v>1003</v>
      </c>
      <c r="B333" s="248" t="s">
        <v>961</v>
      </c>
      <c r="C333" s="249">
        <v>199.61294302262849</v>
      </c>
      <c r="D333" s="250">
        <f>C333*'[3]Base Costs'!$B$5</f>
        <v>199.61294302262849</v>
      </c>
      <c r="E333" s="250">
        <f t="shared" si="35"/>
        <v>25</v>
      </c>
      <c r="F333" s="250">
        <f t="shared" si="36"/>
        <v>5</v>
      </c>
      <c r="G333" s="250">
        <f t="shared" si="37"/>
        <v>2</v>
      </c>
      <c r="H333" s="251">
        <f>4*D333*'[3]Base Costs'!$B$7</f>
        <v>39671.874748089278</v>
      </c>
      <c r="I333" s="252">
        <f>4*IF(E333&lt;=3,E333*'[3]Base Costs'!$B$8,IF(F333&lt;=3,F333*'[3]Base Costs'!$B$9,'[3]Base Costs'!$B$10*G333))</f>
        <v>8800</v>
      </c>
      <c r="J333" s="253">
        <f>C333*'[3]Base Costs'!$B$6</f>
        <v>50.701687527747637</v>
      </c>
      <c r="K333" s="250">
        <f t="shared" si="38"/>
        <v>7</v>
      </c>
      <c r="L333" s="250">
        <f t="shared" si="39"/>
        <v>2</v>
      </c>
      <c r="M333" s="250">
        <f t="shared" si="40"/>
        <v>1</v>
      </c>
      <c r="N333" s="251">
        <f>4*J333*'[3]Base Costs'!$B$7</f>
        <v>10076.656186014678</v>
      </c>
      <c r="O333" s="252">
        <f>4*IF(K333&lt;=3,K333*'[3]Base Costs'!$B$8,IF(L333&lt;=3,L333*'[3]Base Costs'!$B$9,'[3]Base Costs'!$B$10*M333))</f>
        <v>2800</v>
      </c>
      <c r="P333" s="252">
        <f>4*C333*'[3]Base Costs'!$B$11</f>
        <v>39922.588604525699</v>
      </c>
      <c r="Q333">
        <f>'[3]Base Costs'!$B$13+'[3]Base Costs'!$B$14</f>
        <v>414</v>
      </c>
      <c r="R333" s="239">
        <f>'[3]Base Costs'!$D$2</f>
        <v>1105.3024868650327</v>
      </c>
      <c r="S333" s="254">
        <f t="shared" si="41"/>
        <v>14395.958672879711</v>
      </c>
    </row>
    <row r="334" spans="1:19" x14ac:dyDescent="0.25">
      <c r="A334" s="248" t="s">
        <v>1003</v>
      </c>
      <c r="B334" s="248" t="s">
        <v>962</v>
      </c>
      <c r="C334" s="249">
        <v>181.30770959396034</v>
      </c>
      <c r="D334" s="250">
        <f>C334*'[3]Base Costs'!$B$5</f>
        <v>181.30770959396034</v>
      </c>
      <c r="E334" s="250">
        <f t="shared" si="35"/>
        <v>23</v>
      </c>
      <c r="F334" s="250">
        <f t="shared" si="36"/>
        <v>5</v>
      </c>
      <c r="G334" s="250">
        <f t="shared" si="37"/>
        <v>2</v>
      </c>
      <c r="H334" s="251">
        <f>4*D334*'[3]Base Costs'!$B$7</f>
        <v>36033.819435542056</v>
      </c>
      <c r="I334" s="252">
        <f>4*IF(E334&lt;=3,E334*'[3]Base Costs'!$B$8,IF(F334&lt;=3,F334*'[3]Base Costs'!$B$9,'[3]Base Costs'!$B$10*G334))</f>
        <v>8800</v>
      </c>
      <c r="J334" s="253">
        <f>C334*'[3]Base Costs'!$B$6</f>
        <v>46.052158236865928</v>
      </c>
      <c r="K334" s="250">
        <f t="shared" si="38"/>
        <v>6</v>
      </c>
      <c r="L334" s="250">
        <f t="shared" si="39"/>
        <v>2</v>
      </c>
      <c r="M334" s="250">
        <f t="shared" si="40"/>
        <v>1</v>
      </c>
      <c r="N334" s="251">
        <f>4*J334*'[3]Base Costs'!$B$7</f>
        <v>9152.590136627683</v>
      </c>
      <c r="O334" s="252">
        <f>4*IF(K334&lt;=3,K334*'[3]Base Costs'!$B$8,IF(L334&lt;=3,L334*'[3]Base Costs'!$B$9,'[3]Base Costs'!$B$10*M334))</f>
        <v>2800</v>
      </c>
      <c r="P334" s="252">
        <f>4*C334*'[3]Base Costs'!$B$11</f>
        <v>36261.541918792071</v>
      </c>
      <c r="Q334">
        <f>'[3]Base Costs'!$B$13+'[3]Base Costs'!$B$14</f>
        <v>414</v>
      </c>
      <c r="R334" s="239">
        <f>'[3]Base Costs'!$D$2</f>
        <v>1105.3024868650327</v>
      </c>
      <c r="S334" s="254">
        <f t="shared" si="41"/>
        <v>13471.892623492717</v>
      </c>
    </row>
    <row r="335" spans="1:19" x14ac:dyDescent="0.25">
      <c r="A335" s="248" t="s">
        <v>1003</v>
      </c>
      <c r="B335" s="248" t="s">
        <v>963</v>
      </c>
      <c r="C335" s="249">
        <v>105.08594276661904</v>
      </c>
      <c r="D335" s="250">
        <f>C335*'[3]Base Costs'!$B$5</f>
        <v>105.08594276661904</v>
      </c>
      <c r="E335" s="250">
        <f t="shared" si="35"/>
        <v>14</v>
      </c>
      <c r="F335" s="250">
        <f t="shared" si="36"/>
        <v>3</v>
      </c>
      <c r="G335" s="250">
        <f t="shared" si="37"/>
        <v>1</v>
      </c>
      <c r="H335" s="251">
        <f>4*D335*'[3]Base Costs'!$B$7</f>
        <v>20885.200609208936</v>
      </c>
      <c r="I335" s="252">
        <f>4*IF(E335&lt;=3,E335*'[3]Base Costs'!$B$8,IF(F335&lt;=3,F335*'[3]Base Costs'!$B$9,'[3]Base Costs'!$B$10*G335))</f>
        <v>4200</v>
      </c>
      <c r="J335" s="253">
        <f>C335*'[3]Base Costs'!$B$6</f>
        <v>26.691829462721238</v>
      </c>
      <c r="K335" s="250">
        <f t="shared" si="38"/>
        <v>4</v>
      </c>
      <c r="L335" s="250">
        <f t="shared" si="39"/>
        <v>1</v>
      </c>
      <c r="M335" s="250">
        <f t="shared" si="40"/>
        <v>1</v>
      </c>
      <c r="N335" s="251">
        <f>4*J335*'[3]Base Costs'!$B$7</f>
        <v>5304.8409547390702</v>
      </c>
      <c r="O335" s="252">
        <f>4*IF(K335&lt;=3,K335*'[3]Base Costs'!$B$8,IF(L335&lt;=3,L335*'[3]Base Costs'!$B$9,'[3]Base Costs'!$B$10*M335))</f>
        <v>1400</v>
      </c>
      <c r="P335" s="252">
        <f>4*C335*'[3]Base Costs'!$B$11</f>
        <v>21017.188553323809</v>
      </c>
      <c r="Q335">
        <f>'[3]Base Costs'!$B$13+'[3]Base Costs'!$B$14</f>
        <v>414</v>
      </c>
      <c r="R335" s="239">
        <f>'[3]Base Costs'!$D$2</f>
        <v>1105.3024868650327</v>
      </c>
      <c r="S335" s="254">
        <f t="shared" si="41"/>
        <v>8224.1434416041029</v>
      </c>
    </row>
    <row r="336" spans="1:19" x14ac:dyDescent="0.25">
      <c r="A336" s="248" t="s">
        <v>1003</v>
      </c>
      <c r="B336" s="248" t="s">
        <v>964</v>
      </c>
      <c r="C336" s="249">
        <v>4.9230769230769234</v>
      </c>
      <c r="D336" s="250">
        <f>C336*'[3]Base Costs'!$B$5</f>
        <v>4.9230769230769234</v>
      </c>
      <c r="E336" s="250">
        <f t="shared" si="35"/>
        <v>1</v>
      </c>
      <c r="F336" s="250">
        <f t="shared" si="36"/>
        <v>1</v>
      </c>
      <c r="G336" s="250">
        <f t="shared" si="37"/>
        <v>1</v>
      </c>
      <c r="H336" s="251">
        <f>4*D336*'[3]Base Costs'!$B$7</f>
        <v>978.43200000000024</v>
      </c>
      <c r="I336" s="252">
        <f>4*IF(E336&lt;=3,E336*'[3]Base Costs'!$B$8,IF(F336&lt;=3,F336*'[3]Base Costs'!$B$9,'[3]Base Costs'!$B$10*G336))</f>
        <v>500</v>
      </c>
      <c r="J336" s="253">
        <f>C336*'[3]Base Costs'!$B$6</f>
        <v>1.2504615384615385</v>
      </c>
      <c r="K336" s="250">
        <f t="shared" si="38"/>
        <v>1</v>
      </c>
      <c r="L336" s="250">
        <f t="shared" si="39"/>
        <v>1</v>
      </c>
      <c r="M336" s="250">
        <f t="shared" si="40"/>
        <v>1</v>
      </c>
      <c r="N336" s="251">
        <f>4*J336*'[3]Base Costs'!$B$7</f>
        <v>248.52172800000005</v>
      </c>
      <c r="O336" s="252">
        <f>4*IF(K336&lt;=3,K336*'[3]Base Costs'!$B$8,IF(L336&lt;=3,L336*'[3]Base Costs'!$B$9,'[3]Base Costs'!$B$10*M336))</f>
        <v>500</v>
      </c>
      <c r="P336" s="252">
        <f>4*C336*'[3]Base Costs'!$B$11</f>
        <v>984.61538461538464</v>
      </c>
      <c r="Q336">
        <f>'[3]Base Costs'!$B$13+'[3]Base Costs'!$B$14</f>
        <v>414</v>
      </c>
      <c r="R336" s="239">
        <f>'[3]Base Costs'!$D$2</f>
        <v>1105.3024868650327</v>
      </c>
      <c r="S336" s="254">
        <f t="shared" si="41"/>
        <v>2267.8242148650329</v>
      </c>
    </row>
    <row r="337" spans="1:19" x14ac:dyDescent="0.25">
      <c r="A337" s="248" t="s">
        <v>1003</v>
      </c>
      <c r="B337" s="248" t="s">
        <v>999</v>
      </c>
      <c r="C337" s="249">
        <v>144.99973137000001</v>
      </c>
      <c r="D337" s="250">
        <f>C337*'[3]Base Costs'!$B$5</f>
        <v>144.99973137000001</v>
      </c>
      <c r="E337" s="250">
        <f t="shared" si="35"/>
        <v>19</v>
      </c>
      <c r="F337" s="250">
        <f t="shared" si="36"/>
        <v>4</v>
      </c>
      <c r="G337" s="250">
        <f t="shared" si="37"/>
        <v>1</v>
      </c>
      <c r="H337" s="251">
        <f>4*D337*'[3]Base Costs'!$B$7</f>
        <v>28817.826611399287</v>
      </c>
      <c r="I337" s="252">
        <f>4*IF(E337&lt;=3,E337*'[3]Base Costs'!$B$8,IF(F337&lt;=3,F337*'[3]Base Costs'!$B$9,'[3]Base Costs'!$B$10*G337))</f>
        <v>4400</v>
      </c>
      <c r="J337" s="253">
        <f>C337*'[3]Base Costs'!$B$6</f>
        <v>36.82993176798</v>
      </c>
      <c r="K337" s="250">
        <f t="shared" si="38"/>
        <v>5</v>
      </c>
      <c r="L337" s="250">
        <f t="shared" si="39"/>
        <v>1</v>
      </c>
      <c r="M337" s="250">
        <f t="shared" si="40"/>
        <v>1</v>
      </c>
      <c r="N337" s="251">
        <f>4*J337*'[3]Base Costs'!$B$7</f>
        <v>7319.7279592954183</v>
      </c>
      <c r="O337" s="252">
        <f>4*IF(K337&lt;=3,K337*'[3]Base Costs'!$B$8,IF(L337&lt;=3,L337*'[3]Base Costs'!$B$9,'[3]Base Costs'!$B$10*M337))</f>
        <v>1400</v>
      </c>
      <c r="P337" s="252">
        <f>4*C337*'[3]Base Costs'!$B$11</f>
        <v>28999.946274000002</v>
      </c>
      <c r="Q337">
        <f>'[3]Base Costs'!$B$13+'[3]Base Costs'!$B$14</f>
        <v>414</v>
      </c>
      <c r="R337" s="239">
        <f>'[3]Base Costs'!$D$2</f>
        <v>1105.3024868650327</v>
      </c>
      <c r="S337" s="254">
        <f t="shared" si="41"/>
        <v>10239.03044616045</v>
      </c>
    </row>
    <row r="338" spans="1:19" x14ac:dyDescent="0.25">
      <c r="A338" s="248" t="s">
        <v>1003</v>
      </c>
      <c r="B338" s="248" t="s">
        <v>965</v>
      </c>
      <c r="C338" s="249">
        <v>219.71742137532286</v>
      </c>
      <c r="D338" s="250">
        <f>C338*'[3]Base Costs'!$B$5</f>
        <v>219.71742137532286</v>
      </c>
      <c r="E338" s="250">
        <f t="shared" si="35"/>
        <v>28</v>
      </c>
      <c r="F338" s="250">
        <f t="shared" si="36"/>
        <v>6</v>
      </c>
      <c r="G338" s="250">
        <f t="shared" si="37"/>
        <v>2</v>
      </c>
      <c r="H338" s="251">
        <f>4*D338*'[3]Base Costs'!$B$7</f>
        <v>43667.51919381717</v>
      </c>
      <c r="I338" s="252">
        <f>4*IF(E338&lt;=3,E338*'[3]Base Costs'!$B$8,IF(F338&lt;=3,F338*'[3]Base Costs'!$B$9,'[3]Base Costs'!$B$10*G338))</f>
        <v>8800</v>
      </c>
      <c r="J338" s="253">
        <f>C338*'[3]Base Costs'!$B$6</f>
        <v>55.808225029332007</v>
      </c>
      <c r="K338" s="250">
        <f t="shared" si="38"/>
        <v>7</v>
      </c>
      <c r="L338" s="250">
        <f t="shared" si="39"/>
        <v>2</v>
      </c>
      <c r="M338" s="250">
        <f t="shared" si="40"/>
        <v>1</v>
      </c>
      <c r="N338" s="251">
        <f>4*J338*'[3]Base Costs'!$B$7</f>
        <v>11091.549875229563</v>
      </c>
      <c r="O338" s="252">
        <f>4*IF(K338&lt;=3,K338*'[3]Base Costs'!$B$8,IF(L338&lt;=3,L338*'[3]Base Costs'!$B$9,'[3]Base Costs'!$B$10*M338))</f>
        <v>2800</v>
      </c>
      <c r="P338" s="252">
        <f>4*C338*'[3]Base Costs'!$B$11</f>
        <v>43943.484275064569</v>
      </c>
      <c r="Q338">
        <f>'[3]Base Costs'!$B$13+'[3]Base Costs'!$B$14</f>
        <v>414</v>
      </c>
      <c r="R338" s="239">
        <f>'[3]Base Costs'!$D$2</f>
        <v>1105.3024868650327</v>
      </c>
      <c r="S338" s="254">
        <f t="shared" si="41"/>
        <v>15410.852362094596</v>
      </c>
    </row>
    <row r="339" spans="1:19" x14ac:dyDescent="0.25">
      <c r="A339" s="248" t="s">
        <v>1003</v>
      </c>
      <c r="B339" s="248" t="s">
        <v>966</v>
      </c>
      <c r="C339" s="249">
        <v>141.83346825488971</v>
      </c>
      <c r="D339" s="250">
        <f>C339*'[3]Base Costs'!$B$5</f>
        <v>141.83346825488971</v>
      </c>
      <c r="E339" s="250">
        <f t="shared" si="35"/>
        <v>18</v>
      </c>
      <c r="F339" s="250">
        <f t="shared" si="36"/>
        <v>4</v>
      </c>
      <c r="G339" s="250">
        <f t="shared" si="37"/>
        <v>1</v>
      </c>
      <c r="H339" s="251">
        <f>4*D339*'[3]Base Costs'!$B$7</f>
        <v>28188.550814849805</v>
      </c>
      <c r="I339" s="252">
        <f>4*IF(E339&lt;=3,E339*'[3]Base Costs'!$B$8,IF(F339&lt;=3,F339*'[3]Base Costs'!$B$9,'[3]Base Costs'!$B$10*G339))</f>
        <v>4400</v>
      </c>
      <c r="J339" s="253">
        <f>C339*'[3]Base Costs'!$B$6</f>
        <v>36.025700936741984</v>
      </c>
      <c r="K339" s="250">
        <f t="shared" si="38"/>
        <v>5</v>
      </c>
      <c r="L339" s="250">
        <f t="shared" si="39"/>
        <v>1</v>
      </c>
      <c r="M339" s="250">
        <f t="shared" si="40"/>
        <v>1</v>
      </c>
      <c r="N339" s="251">
        <f>4*J339*'[3]Base Costs'!$B$7</f>
        <v>7159.8919069718495</v>
      </c>
      <c r="O339" s="252">
        <f>4*IF(K339&lt;=3,K339*'[3]Base Costs'!$B$8,IF(L339&lt;=3,L339*'[3]Base Costs'!$B$9,'[3]Base Costs'!$B$10*M339))</f>
        <v>1400</v>
      </c>
      <c r="P339" s="252">
        <f>4*C339*'[3]Base Costs'!$B$11</f>
        <v>28366.693650977941</v>
      </c>
      <c r="Q339">
        <f>'[3]Base Costs'!$B$13+'[3]Base Costs'!$B$14</f>
        <v>414</v>
      </c>
      <c r="R339" s="239">
        <f>'[3]Base Costs'!$D$2</f>
        <v>1105.3024868650327</v>
      </c>
      <c r="S339" s="254">
        <f t="shared" si="41"/>
        <v>10079.194393836882</v>
      </c>
    </row>
    <row r="340" spans="1:19" x14ac:dyDescent="0.25">
      <c r="A340" s="248" t="s">
        <v>1003</v>
      </c>
      <c r="B340" s="248" t="s">
        <v>967</v>
      </c>
      <c r="C340" s="249">
        <v>116.19996586589677</v>
      </c>
      <c r="D340" s="250">
        <f>C340*'[3]Base Costs'!$B$5</f>
        <v>116.19996586589677</v>
      </c>
      <c r="E340" s="250">
        <f t="shared" si="35"/>
        <v>15</v>
      </c>
      <c r="F340" s="250">
        <f t="shared" si="36"/>
        <v>3</v>
      </c>
      <c r="G340" s="250">
        <f t="shared" si="37"/>
        <v>1</v>
      </c>
      <c r="H340" s="251">
        <f>4*D340*'[3]Base Costs'!$B$7</f>
        <v>23094.046016051791</v>
      </c>
      <c r="I340" s="252">
        <f>4*IF(E340&lt;=3,E340*'[3]Base Costs'!$B$8,IF(F340&lt;=3,F340*'[3]Base Costs'!$B$9,'[3]Base Costs'!$B$10*G340))</f>
        <v>4200</v>
      </c>
      <c r="J340" s="253">
        <f>C340*'[3]Base Costs'!$B$6</f>
        <v>29.514791329937779</v>
      </c>
      <c r="K340" s="250">
        <f t="shared" si="38"/>
        <v>4</v>
      </c>
      <c r="L340" s="250">
        <f t="shared" si="39"/>
        <v>1</v>
      </c>
      <c r="M340" s="250">
        <f t="shared" si="40"/>
        <v>1</v>
      </c>
      <c r="N340" s="251">
        <f>4*J340*'[3]Base Costs'!$B$7</f>
        <v>5865.887688077155</v>
      </c>
      <c r="O340" s="252">
        <f>4*IF(K340&lt;=3,K340*'[3]Base Costs'!$B$8,IF(L340&lt;=3,L340*'[3]Base Costs'!$B$9,'[3]Base Costs'!$B$10*M340))</f>
        <v>1400</v>
      </c>
      <c r="P340" s="252">
        <f>4*C340*'[3]Base Costs'!$B$11</f>
        <v>23239.993173179355</v>
      </c>
      <c r="Q340">
        <f>'[3]Base Costs'!$B$13+'[3]Base Costs'!$B$14</f>
        <v>414</v>
      </c>
      <c r="R340" s="239">
        <f>'[3]Base Costs'!$D$2</f>
        <v>1105.3024868650327</v>
      </c>
      <c r="S340" s="254">
        <f t="shared" si="41"/>
        <v>8785.1901749421886</v>
      </c>
    </row>
    <row r="341" spans="1:19" x14ac:dyDescent="0.25">
      <c r="A341" s="248" t="s">
        <v>1003</v>
      </c>
      <c r="B341" s="248" t="s">
        <v>968</v>
      </c>
      <c r="C341" s="249">
        <v>67.422293480204232</v>
      </c>
      <c r="D341" s="250">
        <f>C341*'[3]Base Costs'!$B$5</f>
        <v>67.422293480204232</v>
      </c>
      <c r="E341" s="250">
        <f t="shared" si="35"/>
        <v>9</v>
      </c>
      <c r="F341" s="250">
        <f t="shared" si="36"/>
        <v>2</v>
      </c>
      <c r="G341" s="250">
        <f t="shared" si="37"/>
        <v>1</v>
      </c>
      <c r="H341" s="251">
        <f>4*D341*'[3]Base Costs'!$B$7</f>
        <v>13399.776295429712</v>
      </c>
      <c r="I341" s="252">
        <f>4*IF(E341&lt;=3,E341*'[3]Base Costs'!$B$8,IF(F341&lt;=3,F341*'[3]Base Costs'!$B$9,'[3]Base Costs'!$B$10*G341))</f>
        <v>2800</v>
      </c>
      <c r="J341" s="253">
        <f>C341*'[3]Base Costs'!$B$6</f>
        <v>17.125262543971875</v>
      </c>
      <c r="K341" s="250">
        <f t="shared" si="38"/>
        <v>3</v>
      </c>
      <c r="L341" s="250">
        <f t="shared" si="39"/>
        <v>1</v>
      </c>
      <c r="M341" s="250">
        <f t="shared" si="40"/>
        <v>1</v>
      </c>
      <c r="N341" s="251">
        <f>4*J341*'[3]Base Costs'!$B$7</f>
        <v>3403.5431790391467</v>
      </c>
      <c r="O341" s="252">
        <f>4*IF(K341&lt;=3,K341*'[3]Base Costs'!$B$8,IF(L341&lt;=3,L341*'[3]Base Costs'!$B$9,'[3]Base Costs'!$B$10*M341))</f>
        <v>1500</v>
      </c>
      <c r="P341" s="252">
        <f>4*C341*'[3]Base Costs'!$B$11</f>
        <v>13484.458696040847</v>
      </c>
      <c r="Q341">
        <f>'[3]Base Costs'!$B$13+'[3]Base Costs'!$B$14</f>
        <v>414</v>
      </c>
      <c r="R341" s="239">
        <f>'[3]Base Costs'!$D$2</f>
        <v>1105.3024868650327</v>
      </c>
      <c r="S341" s="254">
        <f t="shared" si="41"/>
        <v>6422.8456659041794</v>
      </c>
    </row>
    <row r="342" spans="1:19" x14ac:dyDescent="0.25">
      <c r="A342" s="248" t="s">
        <v>1003</v>
      </c>
      <c r="B342" s="248" t="s">
        <v>1000</v>
      </c>
      <c r="C342" s="249">
        <v>76.047058823529412</v>
      </c>
      <c r="D342" s="250">
        <f>C342*'[3]Base Costs'!$B$5</f>
        <v>76.047058823529412</v>
      </c>
      <c r="E342" s="250">
        <f t="shared" si="35"/>
        <v>10</v>
      </c>
      <c r="F342" s="250">
        <f t="shared" si="36"/>
        <v>2</v>
      </c>
      <c r="G342" s="250">
        <f t="shared" si="37"/>
        <v>1</v>
      </c>
      <c r="H342" s="251">
        <f>4*D342*'[3]Base Costs'!$B$7</f>
        <v>15113.896658823531</v>
      </c>
      <c r="I342" s="252">
        <f>4*IF(E342&lt;=3,E342*'[3]Base Costs'!$B$8,IF(F342&lt;=3,F342*'[3]Base Costs'!$B$9,'[3]Base Costs'!$B$10*G342))</f>
        <v>2800</v>
      </c>
      <c r="J342" s="253">
        <f>C342*'[3]Base Costs'!$B$6</f>
        <v>19.315952941176469</v>
      </c>
      <c r="K342" s="250">
        <f t="shared" si="38"/>
        <v>3</v>
      </c>
      <c r="L342" s="250">
        <f t="shared" si="39"/>
        <v>1</v>
      </c>
      <c r="M342" s="250">
        <f t="shared" si="40"/>
        <v>1</v>
      </c>
      <c r="N342" s="251">
        <f>4*J342*'[3]Base Costs'!$B$7</f>
        <v>3838.9297513411766</v>
      </c>
      <c r="O342" s="252">
        <f>4*IF(K342&lt;=3,K342*'[3]Base Costs'!$B$8,IF(L342&lt;=3,L342*'[3]Base Costs'!$B$9,'[3]Base Costs'!$B$10*M342))</f>
        <v>1500</v>
      </c>
      <c r="P342" s="252">
        <f>4*C342*'[3]Base Costs'!$B$11</f>
        <v>15209.411764705883</v>
      </c>
      <c r="Q342">
        <f>'[3]Base Costs'!$B$13+'[3]Base Costs'!$B$14</f>
        <v>414</v>
      </c>
      <c r="R342" s="239">
        <f>'[3]Base Costs'!$D$2</f>
        <v>1105.3024868650327</v>
      </c>
      <c r="S342" s="254">
        <f t="shared" si="41"/>
        <v>6858.2322382062093</v>
      </c>
    </row>
    <row r="343" spans="1:19" x14ac:dyDescent="0.25">
      <c r="A343" s="248" t="s">
        <v>1003</v>
      </c>
      <c r="B343" s="248" t="s">
        <v>969</v>
      </c>
      <c r="C343" s="249">
        <v>123.22471910112358</v>
      </c>
      <c r="D343" s="250">
        <f>C343*'[3]Base Costs'!$B$5</f>
        <v>123.22471910112358</v>
      </c>
      <c r="E343" s="250">
        <f t="shared" si="35"/>
        <v>16</v>
      </c>
      <c r="F343" s="250">
        <f t="shared" si="36"/>
        <v>4</v>
      </c>
      <c r="G343" s="250">
        <f t="shared" si="37"/>
        <v>1</v>
      </c>
      <c r="H343" s="251">
        <f>4*D343*'[3]Base Costs'!$B$7</f>
        <v>24490.17357303371</v>
      </c>
      <c r="I343" s="252">
        <f>4*IF(E343&lt;=3,E343*'[3]Base Costs'!$B$8,IF(F343&lt;=3,F343*'[3]Base Costs'!$B$9,'[3]Base Costs'!$B$10*G343))</f>
        <v>4400</v>
      </c>
      <c r="J343" s="253">
        <f>C343*'[3]Base Costs'!$B$6</f>
        <v>31.299078651685392</v>
      </c>
      <c r="K343" s="250">
        <f t="shared" si="38"/>
        <v>4</v>
      </c>
      <c r="L343" s="250">
        <f t="shared" si="39"/>
        <v>1</v>
      </c>
      <c r="M343" s="250">
        <f t="shared" si="40"/>
        <v>1</v>
      </c>
      <c r="N343" s="251">
        <f>4*J343*'[3]Base Costs'!$B$7</f>
        <v>6220.504087550562</v>
      </c>
      <c r="O343" s="252">
        <f>4*IF(K343&lt;=3,K343*'[3]Base Costs'!$B$8,IF(L343&lt;=3,L343*'[3]Base Costs'!$B$9,'[3]Base Costs'!$B$10*M343))</f>
        <v>1400</v>
      </c>
      <c r="P343" s="252">
        <f>4*C343*'[3]Base Costs'!$B$11</f>
        <v>24644.943820224718</v>
      </c>
      <c r="Q343">
        <f>'[3]Base Costs'!$B$13+'[3]Base Costs'!$B$14</f>
        <v>414</v>
      </c>
      <c r="R343" s="239">
        <f>'[3]Base Costs'!$D$2</f>
        <v>1105.3024868650327</v>
      </c>
      <c r="S343" s="254">
        <f t="shared" si="41"/>
        <v>9139.8065744155938</v>
      </c>
    </row>
    <row r="344" spans="1:19" x14ac:dyDescent="0.25">
      <c r="A344" s="248" t="s">
        <v>1003</v>
      </c>
      <c r="B344" s="248" t="s">
        <v>970</v>
      </c>
      <c r="C344" s="249">
        <v>605.396613481803</v>
      </c>
      <c r="D344" s="250">
        <f>C344*'[3]Base Costs'!$B$5</f>
        <v>605.396613481803</v>
      </c>
      <c r="E344" s="250">
        <f t="shared" si="35"/>
        <v>76</v>
      </c>
      <c r="F344" s="250">
        <f t="shared" si="36"/>
        <v>16</v>
      </c>
      <c r="G344" s="250">
        <f t="shared" si="37"/>
        <v>4</v>
      </c>
      <c r="H344" s="251">
        <f>4*D344*'[3]Base Costs'!$B$7</f>
        <v>120318.94454982747</v>
      </c>
      <c r="I344" s="252">
        <f>4*IF(E344&lt;=3,E344*'[3]Base Costs'!$B$8,IF(F344&lt;=3,F344*'[3]Base Costs'!$B$9,'[3]Base Costs'!$B$10*G344))</f>
        <v>17600</v>
      </c>
      <c r="J344" s="253">
        <f>C344*'[3]Base Costs'!$B$6</f>
        <v>153.77073982437796</v>
      </c>
      <c r="K344" s="250">
        <f t="shared" si="38"/>
        <v>20</v>
      </c>
      <c r="L344" s="250">
        <f t="shared" si="39"/>
        <v>4</v>
      </c>
      <c r="M344" s="250">
        <f t="shared" si="40"/>
        <v>1</v>
      </c>
      <c r="N344" s="251">
        <f>4*J344*'[3]Base Costs'!$B$7</f>
        <v>30561.011915656178</v>
      </c>
      <c r="O344" s="252">
        <f>4*IF(K344&lt;=3,K344*'[3]Base Costs'!$B$8,IF(L344&lt;=3,L344*'[3]Base Costs'!$B$9,'[3]Base Costs'!$B$10*M344))</f>
        <v>4400</v>
      </c>
      <c r="P344" s="252">
        <f>4*C344*'[3]Base Costs'!$B$11</f>
        <v>121079.3226963606</v>
      </c>
      <c r="Q344">
        <f>'[3]Base Costs'!$B$13+'[3]Base Costs'!$B$14</f>
        <v>414</v>
      </c>
      <c r="R344" s="239">
        <f>'[3]Base Costs'!$D$2</f>
        <v>1105.3024868650327</v>
      </c>
      <c r="S344" s="254">
        <f t="shared" si="41"/>
        <v>36480.31440252121</v>
      </c>
    </row>
    <row r="345" spans="1:19" x14ac:dyDescent="0.25">
      <c r="A345" s="248" t="s">
        <v>1003</v>
      </c>
      <c r="B345" s="248" t="s">
        <v>971</v>
      </c>
      <c r="C345" s="249">
        <v>106.34605791541327</v>
      </c>
      <c r="D345" s="250">
        <f>C345*'[3]Base Costs'!$B$5</f>
        <v>106.34605791541327</v>
      </c>
      <c r="E345" s="250">
        <f t="shared" si="35"/>
        <v>14</v>
      </c>
      <c r="F345" s="250">
        <f t="shared" si="36"/>
        <v>3</v>
      </c>
      <c r="G345" s="250">
        <f t="shared" si="37"/>
        <v>1</v>
      </c>
      <c r="H345" s="251">
        <f>4*D345*'[3]Base Costs'!$B$7</f>
        <v>21135.640934340896</v>
      </c>
      <c r="I345" s="252">
        <f>4*IF(E345&lt;=3,E345*'[3]Base Costs'!$B$8,IF(F345&lt;=3,F345*'[3]Base Costs'!$B$9,'[3]Base Costs'!$B$10*G345))</f>
        <v>4200</v>
      </c>
      <c r="J345" s="253">
        <f>C345*'[3]Base Costs'!$B$6</f>
        <v>27.01189871051497</v>
      </c>
      <c r="K345" s="250">
        <f t="shared" si="38"/>
        <v>4</v>
      </c>
      <c r="L345" s="250">
        <f t="shared" si="39"/>
        <v>1</v>
      </c>
      <c r="M345" s="250">
        <f t="shared" si="40"/>
        <v>1</v>
      </c>
      <c r="N345" s="251">
        <f>4*J345*'[3]Base Costs'!$B$7</f>
        <v>5368.4527973225877</v>
      </c>
      <c r="O345" s="252">
        <f>4*IF(K345&lt;=3,K345*'[3]Base Costs'!$B$8,IF(L345&lt;=3,L345*'[3]Base Costs'!$B$9,'[3]Base Costs'!$B$10*M345))</f>
        <v>1400</v>
      </c>
      <c r="P345" s="252">
        <f>4*C345*'[3]Base Costs'!$B$11</f>
        <v>21269.211583082655</v>
      </c>
      <c r="Q345">
        <f>'[3]Base Costs'!$B$13+'[3]Base Costs'!$B$14</f>
        <v>414</v>
      </c>
      <c r="R345" s="239">
        <f>'[3]Base Costs'!$D$2</f>
        <v>1105.3024868650327</v>
      </c>
      <c r="S345" s="254">
        <f t="shared" si="41"/>
        <v>8287.7552841876204</v>
      </c>
    </row>
    <row r="346" spans="1:19" x14ac:dyDescent="0.25">
      <c r="A346" s="248" t="s">
        <v>1003</v>
      </c>
      <c r="B346" s="248" t="s">
        <v>972</v>
      </c>
      <c r="C346" s="249">
        <v>73.275640029853861</v>
      </c>
      <c r="D346" s="250">
        <f>C346*'[3]Base Costs'!$B$5</f>
        <v>73.275640029853861</v>
      </c>
      <c r="E346" s="250">
        <f t="shared" si="35"/>
        <v>10</v>
      </c>
      <c r="F346" s="250">
        <f t="shared" si="36"/>
        <v>2</v>
      </c>
      <c r="G346" s="250">
        <f t="shared" si="37"/>
        <v>1</v>
      </c>
      <c r="H346" s="251">
        <f>4*D346*'[3]Base Costs'!$B$7</f>
        <v>14563.093802093277</v>
      </c>
      <c r="I346" s="252">
        <f>4*IF(E346&lt;=3,E346*'[3]Base Costs'!$B$8,IF(F346&lt;=3,F346*'[3]Base Costs'!$B$9,'[3]Base Costs'!$B$10*G346))</f>
        <v>2800</v>
      </c>
      <c r="J346" s="253">
        <f>C346*'[3]Base Costs'!$B$6</f>
        <v>18.61201256758288</v>
      </c>
      <c r="K346" s="250">
        <f t="shared" si="38"/>
        <v>3</v>
      </c>
      <c r="L346" s="250">
        <f t="shared" si="39"/>
        <v>1</v>
      </c>
      <c r="M346" s="250">
        <f t="shared" si="40"/>
        <v>1</v>
      </c>
      <c r="N346" s="251">
        <f>4*J346*'[3]Base Costs'!$B$7</f>
        <v>3699.0258257316923</v>
      </c>
      <c r="O346" s="252">
        <f>4*IF(K346&lt;=3,K346*'[3]Base Costs'!$B$8,IF(L346&lt;=3,L346*'[3]Base Costs'!$B$9,'[3]Base Costs'!$B$10*M346))</f>
        <v>1500</v>
      </c>
      <c r="P346" s="252">
        <f>4*C346*'[3]Base Costs'!$B$11</f>
        <v>14655.128005970771</v>
      </c>
      <c r="Q346">
        <f>'[3]Base Costs'!$B$13+'[3]Base Costs'!$B$14</f>
        <v>414</v>
      </c>
      <c r="R346" s="239">
        <f>'[3]Base Costs'!$D$2</f>
        <v>1105.3024868650327</v>
      </c>
      <c r="S346" s="254">
        <f t="shared" si="41"/>
        <v>6718.3283125967246</v>
      </c>
    </row>
    <row r="347" spans="1:19" x14ac:dyDescent="0.25">
      <c r="A347" s="248" t="s">
        <v>1003</v>
      </c>
      <c r="B347" s="248" t="s">
        <v>973</v>
      </c>
      <c r="C347" s="249">
        <v>122.47774000000001</v>
      </c>
      <c r="D347" s="250">
        <f>C347*'[3]Base Costs'!$B$5</f>
        <v>122.47774000000001</v>
      </c>
      <c r="E347" s="250">
        <f t="shared" si="35"/>
        <v>16</v>
      </c>
      <c r="F347" s="250">
        <f t="shared" si="36"/>
        <v>4</v>
      </c>
      <c r="G347" s="250">
        <f t="shared" si="37"/>
        <v>1</v>
      </c>
      <c r="H347" s="251">
        <f>4*D347*'[3]Base Costs'!$B$7</f>
        <v>24341.715958560006</v>
      </c>
      <c r="I347" s="252">
        <f>4*IF(E347&lt;=3,E347*'[3]Base Costs'!$B$8,IF(F347&lt;=3,F347*'[3]Base Costs'!$B$9,'[3]Base Costs'!$B$10*G347))</f>
        <v>4400</v>
      </c>
      <c r="J347" s="253">
        <f>C347*'[3]Base Costs'!$B$6</f>
        <v>31.109345960000002</v>
      </c>
      <c r="K347" s="250">
        <f t="shared" si="38"/>
        <v>4</v>
      </c>
      <c r="L347" s="250">
        <f t="shared" si="39"/>
        <v>1</v>
      </c>
      <c r="M347" s="250">
        <f t="shared" si="40"/>
        <v>1</v>
      </c>
      <c r="N347" s="251">
        <f>4*J347*'[3]Base Costs'!$B$7</f>
        <v>6182.7958534742411</v>
      </c>
      <c r="O347" s="252">
        <f>4*IF(K347&lt;=3,K347*'[3]Base Costs'!$B$8,IF(L347&lt;=3,L347*'[3]Base Costs'!$B$9,'[3]Base Costs'!$B$10*M347))</f>
        <v>1400</v>
      </c>
      <c r="P347" s="252">
        <f>4*C347*'[3]Base Costs'!$B$11</f>
        <v>24495.548000000003</v>
      </c>
      <c r="Q347">
        <f>'[3]Base Costs'!$B$13+'[3]Base Costs'!$B$14</f>
        <v>414</v>
      </c>
      <c r="R347" s="239">
        <f>'[3]Base Costs'!$D$2</f>
        <v>1105.3024868650327</v>
      </c>
      <c r="S347" s="254">
        <f t="shared" si="41"/>
        <v>9102.0983403392747</v>
      </c>
    </row>
    <row r="348" spans="1:19" x14ac:dyDescent="0.25">
      <c r="A348" s="248" t="s">
        <v>1003</v>
      </c>
      <c r="B348" s="248" t="s">
        <v>1001</v>
      </c>
      <c r="C348" s="249">
        <v>91.370046922257856</v>
      </c>
      <c r="D348" s="250">
        <f>C348*'[3]Base Costs'!$B$5</f>
        <v>91.370046922257856</v>
      </c>
      <c r="E348" s="250">
        <f t="shared" si="35"/>
        <v>12</v>
      </c>
      <c r="F348" s="250">
        <f t="shared" si="36"/>
        <v>3</v>
      </c>
      <c r="G348" s="250">
        <f t="shared" si="37"/>
        <v>1</v>
      </c>
      <c r="H348" s="251">
        <f>4*D348*'[3]Base Costs'!$B$7</f>
        <v>18159.248605517219</v>
      </c>
      <c r="I348" s="252">
        <f>4*IF(E348&lt;=3,E348*'[3]Base Costs'!$B$8,IF(F348&lt;=3,F348*'[3]Base Costs'!$B$9,'[3]Base Costs'!$B$10*G348))</f>
        <v>4200</v>
      </c>
      <c r="J348" s="253">
        <f>C348*'[3]Base Costs'!$B$6</f>
        <v>23.207991918253494</v>
      </c>
      <c r="K348" s="250">
        <f t="shared" si="38"/>
        <v>3</v>
      </c>
      <c r="L348" s="250">
        <f t="shared" si="39"/>
        <v>1</v>
      </c>
      <c r="M348" s="250">
        <f t="shared" si="40"/>
        <v>1</v>
      </c>
      <c r="N348" s="251">
        <f>4*J348*'[3]Base Costs'!$B$7</f>
        <v>4612.4491458013736</v>
      </c>
      <c r="O348" s="252">
        <f>4*IF(K348&lt;=3,K348*'[3]Base Costs'!$B$8,IF(L348&lt;=3,L348*'[3]Base Costs'!$B$9,'[3]Base Costs'!$B$10*M348))</f>
        <v>1500</v>
      </c>
      <c r="P348" s="252">
        <f>4*C348*'[3]Base Costs'!$B$11</f>
        <v>18274.009384451572</v>
      </c>
      <c r="Q348">
        <f>'[3]Base Costs'!$B$13+'[3]Base Costs'!$B$14</f>
        <v>414</v>
      </c>
      <c r="R348" s="239">
        <f>'[3]Base Costs'!$D$2</f>
        <v>1105.3024868650327</v>
      </c>
      <c r="S348" s="254">
        <f t="shared" si="41"/>
        <v>7631.7516326664063</v>
      </c>
    </row>
    <row r="349" spans="1:19" x14ac:dyDescent="0.25">
      <c r="A349" s="248" t="s">
        <v>1003</v>
      </c>
      <c r="B349" s="248" t="s">
        <v>974</v>
      </c>
      <c r="C349" s="249">
        <v>180.96469725639406</v>
      </c>
      <c r="D349" s="250">
        <f>C349*'[3]Base Costs'!$B$5</f>
        <v>180.96469725639406</v>
      </c>
      <c r="E349" s="250">
        <f t="shared" si="35"/>
        <v>23</v>
      </c>
      <c r="F349" s="250">
        <f t="shared" si="36"/>
        <v>5</v>
      </c>
      <c r="G349" s="250">
        <f t="shared" si="37"/>
        <v>2</v>
      </c>
      <c r="H349" s="251">
        <f>4*D349*'[3]Base Costs'!$B$7</f>
        <v>35965.647791524789</v>
      </c>
      <c r="I349" s="252">
        <f>4*IF(E349&lt;=3,E349*'[3]Base Costs'!$B$8,IF(F349&lt;=3,F349*'[3]Base Costs'!$B$9,'[3]Base Costs'!$B$10*G349))</f>
        <v>8800</v>
      </c>
      <c r="J349" s="253">
        <f>C349*'[3]Base Costs'!$B$6</f>
        <v>45.965033103124092</v>
      </c>
      <c r="K349" s="250">
        <f t="shared" si="38"/>
        <v>6</v>
      </c>
      <c r="L349" s="250">
        <f t="shared" si="39"/>
        <v>2</v>
      </c>
      <c r="M349" s="250">
        <f t="shared" si="40"/>
        <v>1</v>
      </c>
      <c r="N349" s="251">
        <f>4*J349*'[3]Base Costs'!$B$7</f>
        <v>9135.2745390472955</v>
      </c>
      <c r="O349" s="252">
        <f>4*IF(K349&lt;=3,K349*'[3]Base Costs'!$B$8,IF(L349&lt;=3,L349*'[3]Base Costs'!$B$9,'[3]Base Costs'!$B$10*M349))</f>
        <v>2800</v>
      </c>
      <c r="P349" s="252">
        <f>4*C349*'[3]Base Costs'!$B$11</f>
        <v>36192.939451278813</v>
      </c>
      <c r="Q349">
        <f>'[3]Base Costs'!$B$13+'[3]Base Costs'!$B$14</f>
        <v>414</v>
      </c>
      <c r="R349" s="239">
        <f>'[3]Base Costs'!$D$2</f>
        <v>1105.3024868650327</v>
      </c>
      <c r="S349" s="254">
        <f t="shared" si="41"/>
        <v>13454.577025912327</v>
      </c>
    </row>
    <row r="350" spans="1:19" x14ac:dyDescent="0.25">
      <c r="A350" s="248" t="s">
        <v>1003</v>
      </c>
      <c r="B350" s="248" t="s">
        <v>975</v>
      </c>
      <c r="C350" s="249">
        <v>50.339275474565284</v>
      </c>
      <c r="D350" s="250">
        <f>C350*'[3]Base Costs'!$B$5</f>
        <v>50.339275474565284</v>
      </c>
      <c r="E350" s="250">
        <f t="shared" si="35"/>
        <v>7</v>
      </c>
      <c r="F350" s="250">
        <f t="shared" si="36"/>
        <v>2</v>
      </c>
      <c r="G350" s="250">
        <f t="shared" si="37"/>
        <v>1</v>
      </c>
      <c r="H350" s="251">
        <f>4*D350*'[3]Base Costs'!$B$7</f>
        <v>10004.628964917005</v>
      </c>
      <c r="I350" s="252">
        <f>4*IF(E350&lt;=3,E350*'[3]Base Costs'!$B$8,IF(F350&lt;=3,F350*'[3]Base Costs'!$B$9,'[3]Base Costs'!$B$10*G350))</f>
        <v>2800</v>
      </c>
      <c r="J350" s="253">
        <f>C350*'[3]Base Costs'!$B$6</f>
        <v>12.786175970539583</v>
      </c>
      <c r="K350" s="250">
        <f t="shared" si="38"/>
        <v>2</v>
      </c>
      <c r="L350" s="250">
        <f t="shared" si="39"/>
        <v>1</v>
      </c>
      <c r="M350" s="250">
        <f t="shared" si="40"/>
        <v>1</v>
      </c>
      <c r="N350" s="251">
        <f>4*J350*'[3]Base Costs'!$B$7</f>
        <v>2541.1757570889195</v>
      </c>
      <c r="O350" s="252">
        <f>4*IF(K350&lt;=3,K350*'[3]Base Costs'!$B$8,IF(L350&lt;=3,L350*'[3]Base Costs'!$B$9,'[3]Base Costs'!$B$10*M350))</f>
        <v>1000</v>
      </c>
      <c r="P350" s="252">
        <f>4*C350*'[3]Base Costs'!$B$11</f>
        <v>10067.855094913057</v>
      </c>
      <c r="Q350">
        <f>'[3]Base Costs'!$B$13+'[3]Base Costs'!$B$14</f>
        <v>414</v>
      </c>
      <c r="R350" s="239">
        <f>'[3]Base Costs'!$D$2</f>
        <v>1105.3024868650327</v>
      </c>
      <c r="S350" s="254">
        <f t="shared" si="41"/>
        <v>5060.4782439539522</v>
      </c>
    </row>
    <row r="351" spans="1:19" x14ac:dyDescent="0.25">
      <c r="A351" s="248" t="s">
        <v>1003</v>
      </c>
      <c r="B351" s="248" t="s">
        <v>976</v>
      </c>
      <c r="C351" s="249">
        <v>289.00585353500003</v>
      </c>
      <c r="D351" s="250">
        <f>C351*'[3]Base Costs'!$B$5</f>
        <v>289.00585353500003</v>
      </c>
      <c r="E351" s="250">
        <f t="shared" si="35"/>
        <v>37</v>
      </c>
      <c r="F351" s="250">
        <f t="shared" si="36"/>
        <v>8</v>
      </c>
      <c r="G351" s="250">
        <f t="shared" si="37"/>
        <v>2</v>
      </c>
      <c r="H351" s="251">
        <f>4*D351*'[3]Base Costs'!$B$7</f>
        <v>57438.179354960055</v>
      </c>
      <c r="I351" s="252">
        <f>4*IF(E351&lt;=3,E351*'[3]Base Costs'!$B$8,IF(F351&lt;=3,F351*'[3]Base Costs'!$B$9,'[3]Base Costs'!$B$10*G351))</f>
        <v>8800</v>
      </c>
      <c r="J351" s="253">
        <f>C351*'[3]Base Costs'!$B$6</f>
        <v>73.407486797890002</v>
      </c>
      <c r="K351" s="250">
        <f t="shared" si="38"/>
        <v>10</v>
      </c>
      <c r="L351" s="250">
        <f t="shared" si="39"/>
        <v>2</v>
      </c>
      <c r="M351" s="250">
        <f t="shared" si="40"/>
        <v>1</v>
      </c>
      <c r="N351" s="251">
        <f>4*J351*'[3]Base Costs'!$B$7</f>
        <v>14589.297556159852</v>
      </c>
      <c r="O351" s="252">
        <f>4*IF(K351&lt;=3,K351*'[3]Base Costs'!$B$8,IF(L351&lt;=3,L351*'[3]Base Costs'!$B$9,'[3]Base Costs'!$B$10*M351))</f>
        <v>2800</v>
      </c>
      <c r="P351" s="252">
        <f>4*C351*'[3]Base Costs'!$B$11</f>
        <v>57801.170707000005</v>
      </c>
      <c r="Q351">
        <f>'[3]Base Costs'!$B$13+'[3]Base Costs'!$B$14</f>
        <v>414</v>
      </c>
      <c r="R351" s="239">
        <f>'[3]Base Costs'!$D$2</f>
        <v>1105.3024868650327</v>
      </c>
      <c r="S351" s="254">
        <f t="shared" si="41"/>
        <v>18908.600043024886</v>
      </c>
    </row>
    <row r="352" spans="1:19" x14ac:dyDescent="0.25">
      <c r="A352" s="248" t="s">
        <v>1003</v>
      </c>
      <c r="B352" s="248" t="s">
        <v>977</v>
      </c>
      <c r="C352" s="249">
        <v>154.19683931329263</v>
      </c>
      <c r="D352" s="250">
        <f>C352*'[3]Base Costs'!$B$5</f>
        <v>154.19683931329263</v>
      </c>
      <c r="E352" s="250">
        <f t="shared" si="35"/>
        <v>20</v>
      </c>
      <c r="F352" s="250">
        <f t="shared" si="36"/>
        <v>4</v>
      </c>
      <c r="G352" s="250">
        <f t="shared" si="37"/>
        <v>1</v>
      </c>
      <c r="H352" s="251">
        <f>4*D352*'[3]Base Costs'!$B$7</f>
        <v>30645.696632481035</v>
      </c>
      <c r="I352" s="252">
        <f>4*IF(E352&lt;=3,E352*'[3]Base Costs'!$B$8,IF(F352&lt;=3,F352*'[3]Base Costs'!$B$9,'[3]Base Costs'!$B$10*G352))</f>
        <v>4400</v>
      </c>
      <c r="J352" s="253">
        <f>C352*'[3]Base Costs'!$B$6</f>
        <v>39.16599718557633</v>
      </c>
      <c r="K352" s="250">
        <f t="shared" si="38"/>
        <v>5</v>
      </c>
      <c r="L352" s="250">
        <f t="shared" si="39"/>
        <v>1</v>
      </c>
      <c r="M352" s="250">
        <f t="shared" si="40"/>
        <v>1</v>
      </c>
      <c r="N352" s="251">
        <f>4*J352*'[3]Base Costs'!$B$7</f>
        <v>7784.006944650183</v>
      </c>
      <c r="O352" s="252">
        <f>4*IF(K352&lt;=3,K352*'[3]Base Costs'!$B$8,IF(L352&lt;=3,L352*'[3]Base Costs'!$B$9,'[3]Base Costs'!$B$10*M352))</f>
        <v>1400</v>
      </c>
      <c r="P352" s="252">
        <f>4*C352*'[3]Base Costs'!$B$11</f>
        <v>30839.367862658524</v>
      </c>
      <c r="Q352">
        <f>'[3]Base Costs'!$B$13+'[3]Base Costs'!$B$14</f>
        <v>414</v>
      </c>
      <c r="R352" s="239">
        <f>'[3]Base Costs'!$D$2</f>
        <v>1105.3024868650327</v>
      </c>
      <c r="S352" s="254">
        <f t="shared" si="41"/>
        <v>10703.309431515216</v>
      </c>
    </row>
    <row r="353" spans="1:19" x14ac:dyDescent="0.25">
      <c r="A353" s="248" t="s">
        <v>1003</v>
      </c>
      <c r="B353" s="248" t="s">
        <v>978</v>
      </c>
      <c r="C353" s="249">
        <v>255.52898646446204</v>
      </c>
      <c r="D353" s="250">
        <f>C353*'[3]Base Costs'!$B$5</f>
        <v>255.52898646446204</v>
      </c>
      <c r="E353" s="250">
        <f t="shared" si="35"/>
        <v>32</v>
      </c>
      <c r="F353" s="250">
        <f t="shared" si="36"/>
        <v>7</v>
      </c>
      <c r="G353" s="250">
        <f t="shared" si="37"/>
        <v>2</v>
      </c>
      <c r="H353" s="251">
        <f>4*D353*'[3]Base Costs'!$B$7</f>
        <v>50784.852885893051</v>
      </c>
      <c r="I353" s="252">
        <f>4*IF(E353&lt;=3,E353*'[3]Base Costs'!$B$8,IF(F353&lt;=3,F353*'[3]Base Costs'!$B$9,'[3]Base Costs'!$B$10*G353))</f>
        <v>8800</v>
      </c>
      <c r="J353" s="253">
        <f>C353*'[3]Base Costs'!$B$6</f>
        <v>64.904362561973358</v>
      </c>
      <c r="K353" s="250">
        <f t="shared" si="38"/>
        <v>9</v>
      </c>
      <c r="L353" s="250">
        <f t="shared" si="39"/>
        <v>2</v>
      </c>
      <c r="M353" s="250">
        <f t="shared" si="40"/>
        <v>1</v>
      </c>
      <c r="N353" s="251">
        <f>4*J353*'[3]Base Costs'!$B$7</f>
        <v>12899.352633016835</v>
      </c>
      <c r="O353" s="252">
        <f>4*IF(K353&lt;=3,K353*'[3]Base Costs'!$B$8,IF(L353&lt;=3,L353*'[3]Base Costs'!$B$9,'[3]Base Costs'!$B$10*M353))</f>
        <v>2800</v>
      </c>
      <c r="P353" s="252">
        <f>4*C353*'[3]Base Costs'!$B$11</f>
        <v>51105.797292892406</v>
      </c>
      <c r="Q353">
        <f>'[3]Base Costs'!$B$13+'[3]Base Costs'!$B$14</f>
        <v>414</v>
      </c>
      <c r="R353" s="239">
        <f>'[3]Base Costs'!$D$2</f>
        <v>1105.3024868650327</v>
      </c>
      <c r="S353" s="254">
        <f t="shared" si="41"/>
        <v>17218.655119881867</v>
      </c>
    </row>
    <row r="354" spans="1:19" x14ac:dyDescent="0.25">
      <c r="A354" s="248" t="s">
        <v>1003</v>
      </c>
      <c r="B354" s="248" t="s">
        <v>979</v>
      </c>
      <c r="C354" s="249">
        <v>81.679866431680338</v>
      </c>
      <c r="D354" s="250">
        <f>C354*'[3]Base Costs'!$B$5</f>
        <v>81.679866431680338</v>
      </c>
      <c r="E354" s="250">
        <f t="shared" si="35"/>
        <v>11</v>
      </c>
      <c r="F354" s="250">
        <f t="shared" si="36"/>
        <v>3</v>
      </c>
      <c r="G354" s="250">
        <f t="shared" si="37"/>
        <v>1</v>
      </c>
      <c r="H354" s="251">
        <f>4*D354*'[3]Base Costs'!$B$7</f>
        <v>16233.383374097879</v>
      </c>
      <c r="I354" s="252">
        <f>4*IF(E354&lt;=3,E354*'[3]Base Costs'!$B$8,IF(F354&lt;=3,F354*'[3]Base Costs'!$B$9,'[3]Base Costs'!$B$10*G354))</f>
        <v>4200</v>
      </c>
      <c r="J354" s="253">
        <f>C354*'[3]Base Costs'!$B$6</f>
        <v>20.746686073646806</v>
      </c>
      <c r="K354" s="250">
        <f t="shared" si="38"/>
        <v>3</v>
      </c>
      <c r="L354" s="250">
        <f t="shared" si="39"/>
        <v>1</v>
      </c>
      <c r="M354" s="250">
        <f t="shared" si="40"/>
        <v>1</v>
      </c>
      <c r="N354" s="251">
        <f>4*J354*'[3]Base Costs'!$B$7</f>
        <v>4123.2793770208618</v>
      </c>
      <c r="O354" s="252">
        <f>4*IF(K354&lt;=3,K354*'[3]Base Costs'!$B$8,IF(L354&lt;=3,L354*'[3]Base Costs'!$B$9,'[3]Base Costs'!$B$10*M354))</f>
        <v>1500</v>
      </c>
      <c r="P354" s="252">
        <f>4*C354*'[3]Base Costs'!$B$11</f>
        <v>16335.973286336068</v>
      </c>
      <c r="Q354">
        <f>'[3]Base Costs'!$B$13+'[3]Base Costs'!$B$14</f>
        <v>414</v>
      </c>
      <c r="R354" s="239">
        <f>'[3]Base Costs'!$D$2</f>
        <v>1105.3024868650327</v>
      </c>
      <c r="S354" s="254">
        <f t="shared" si="41"/>
        <v>7142.5818638858946</v>
      </c>
    </row>
    <row r="355" spans="1:19" x14ac:dyDescent="0.25">
      <c r="A355" s="248" t="s">
        <v>1003</v>
      </c>
      <c r="B355" s="248" t="s">
        <v>980</v>
      </c>
      <c r="C355" s="249">
        <v>63.104447772546408</v>
      </c>
      <c r="D355" s="250">
        <f>C355*'[3]Base Costs'!$B$5</f>
        <v>63.104447772546408</v>
      </c>
      <c r="E355" s="250">
        <f t="shared" si="35"/>
        <v>8</v>
      </c>
      <c r="F355" s="250">
        <f t="shared" si="36"/>
        <v>2</v>
      </c>
      <c r="G355" s="250">
        <f t="shared" si="37"/>
        <v>1</v>
      </c>
      <c r="H355" s="251">
        <f>4*D355*'[3]Base Costs'!$B$7</f>
        <v>12541.630368106966</v>
      </c>
      <c r="I355" s="252">
        <f>4*IF(E355&lt;=3,E355*'[3]Base Costs'!$B$8,IF(F355&lt;=3,F355*'[3]Base Costs'!$B$9,'[3]Base Costs'!$B$10*G355))</f>
        <v>2800</v>
      </c>
      <c r="J355" s="253">
        <f>C355*'[3]Base Costs'!$B$6</f>
        <v>16.028529734226787</v>
      </c>
      <c r="K355" s="250">
        <f t="shared" si="38"/>
        <v>3</v>
      </c>
      <c r="L355" s="250">
        <f t="shared" si="39"/>
        <v>1</v>
      </c>
      <c r="M355" s="250">
        <f t="shared" si="40"/>
        <v>1</v>
      </c>
      <c r="N355" s="251">
        <f>4*J355*'[3]Base Costs'!$B$7</f>
        <v>3185.574113499169</v>
      </c>
      <c r="O355" s="252">
        <f>4*IF(K355&lt;=3,K355*'[3]Base Costs'!$B$8,IF(L355&lt;=3,L355*'[3]Base Costs'!$B$9,'[3]Base Costs'!$B$10*M355))</f>
        <v>1500</v>
      </c>
      <c r="P355" s="252">
        <f>4*C355*'[3]Base Costs'!$B$11</f>
        <v>12620.889554509282</v>
      </c>
      <c r="Q355">
        <f>'[3]Base Costs'!$B$13+'[3]Base Costs'!$B$14</f>
        <v>414</v>
      </c>
      <c r="R355" s="239">
        <f>'[3]Base Costs'!$D$2</f>
        <v>1105.3024868650327</v>
      </c>
      <c r="S355" s="254">
        <f t="shared" si="41"/>
        <v>6204.8766003642013</v>
      </c>
    </row>
    <row r="356" spans="1:19" x14ac:dyDescent="0.25">
      <c r="A356" s="248" t="s">
        <v>1003</v>
      </c>
      <c r="B356" s="248" t="s">
        <v>981</v>
      </c>
      <c r="C356" s="249">
        <v>79.312906464377704</v>
      </c>
      <c r="D356" s="250">
        <f>C356*'[3]Base Costs'!$B$5</f>
        <v>79.312906464377704</v>
      </c>
      <c r="E356" s="250">
        <f t="shared" si="35"/>
        <v>10</v>
      </c>
      <c r="F356" s="250">
        <f t="shared" si="36"/>
        <v>2</v>
      </c>
      <c r="G356" s="250">
        <f t="shared" si="37"/>
        <v>1</v>
      </c>
      <c r="H356" s="251">
        <f>4*D356*'[3]Base Costs'!$B$7</f>
        <v>15762.964282356284</v>
      </c>
      <c r="I356" s="252">
        <f>4*IF(E356&lt;=3,E356*'[3]Base Costs'!$B$8,IF(F356&lt;=3,F356*'[3]Base Costs'!$B$9,'[3]Base Costs'!$B$10*G356))</f>
        <v>2800</v>
      </c>
      <c r="J356" s="253">
        <f>C356*'[3]Base Costs'!$B$6</f>
        <v>20.145478241951938</v>
      </c>
      <c r="K356" s="250">
        <f t="shared" si="38"/>
        <v>3</v>
      </c>
      <c r="L356" s="250">
        <f t="shared" si="39"/>
        <v>1</v>
      </c>
      <c r="M356" s="250">
        <f t="shared" si="40"/>
        <v>1</v>
      </c>
      <c r="N356" s="251">
        <f>4*J356*'[3]Base Costs'!$B$7</f>
        <v>4003.7929277184967</v>
      </c>
      <c r="O356" s="252">
        <f>4*IF(K356&lt;=3,K356*'[3]Base Costs'!$B$8,IF(L356&lt;=3,L356*'[3]Base Costs'!$B$9,'[3]Base Costs'!$B$10*M356))</f>
        <v>1500</v>
      </c>
      <c r="P356" s="252">
        <f>4*C356*'[3]Base Costs'!$B$11</f>
        <v>15862.58129287554</v>
      </c>
      <c r="Q356">
        <f>'[3]Base Costs'!$B$13+'[3]Base Costs'!$B$14</f>
        <v>414</v>
      </c>
      <c r="R356" s="239">
        <f>'[3]Base Costs'!$D$2</f>
        <v>1105.3024868650327</v>
      </c>
      <c r="S356" s="254">
        <f t="shared" si="41"/>
        <v>7023.0954145835294</v>
      </c>
    </row>
    <row r="357" spans="1:19" x14ac:dyDescent="0.25">
      <c r="A357" s="248" t="s">
        <v>1003</v>
      </c>
      <c r="B357" s="248" t="s">
        <v>982</v>
      </c>
      <c r="C357" s="249">
        <v>86.934071898984584</v>
      </c>
      <c r="D357" s="250">
        <f>C357*'[3]Base Costs'!$B$5</f>
        <v>86.934071898984584</v>
      </c>
      <c r="E357" s="250">
        <f t="shared" si="35"/>
        <v>11</v>
      </c>
      <c r="F357" s="250">
        <f t="shared" si="36"/>
        <v>3</v>
      </c>
      <c r="G357" s="250">
        <f t="shared" si="37"/>
        <v>1</v>
      </c>
      <c r="H357" s="251">
        <f>4*D357*'[3]Base Costs'!$B$7</f>
        <v>17277.625185491794</v>
      </c>
      <c r="I357" s="252">
        <f>4*IF(E357&lt;=3,E357*'[3]Base Costs'!$B$8,IF(F357&lt;=3,F357*'[3]Base Costs'!$B$9,'[3]Base Costs'!$B$10*G357))</f>
        <v>4200</v>
      </c>
      <c r="J357" s="253">
        <f>C357*'[3]Base Costs'!$B$6</f>
        <v>22.081254262342085</v>
      </c>
      <c r="K357" s="250">
        <f t="shared" si="38"/>
        <v>3</v>
      </c>
      <c r="L357" s="250">
        <f t="shared" si="39"/>
        <v>1</v>
      </c>
      <c r="M357" s="250">
        <f t="shared" si="40"/>
        <v>1</v>
      </c>
      <c r="N357" s="251">
        <f>4*J357*'[3]Base Costs'!$B$7</f>
        <v>4388.5167971149158</v>
      </c>
      <c r="O357" s="252">
        <f>4*IF(K357&lt;=3,K357*'[3]Base Costs'!$B$8,IF(L357&lt;=3,L357*'[3]Base Costs'!$B$9,'[3]Base Costs'!$B$10*M357))</f>
        <v>1500</v>
      </c>
      <c r="P357" s="252">
        <f>4*C357*'[3]Base Costs'!$B$11</f>
        <v>17386.814379796917</v>
      </c>
      <c r="Q357">
        <f>'[3]Base Costs'!$B$13+'[3]Base Costs'!$B$14</f>
        <v>414</v>
      </c>
      <c r="R357" s="239">
        <f>'[3]Base Costs'!$D$2</f>
        <v>1105.3024868650327</v>
      </c>
      <c r="S357" s="254">
        <f t="shared" si="41"/>
        <v>7407.8192839799485</v>
      </c>
    </row>
    <row r="358" spans="1:19" x14ac:dyDescent="0.25">
      <c r="A358" s="248" t="s">
        <v>1003</v>
      </c>
      <c r="B358" s="248" t="s">
        <v>983</v>
      </c>
      <c r="C358" s="249">
        <v>76.857849265168284</v>
      </c>
      <c r="D358" s="250">
        <f>C358*'[3]Base Costs'!$B$5</f>
        <v>76.857849265168284</v>
      </c>
      <c r="E358" s="250">
        <f t="shared" si="35"/>
        <v>10</v>
      </c>
      <c r="F358" s="250">
        <f t="shared" si="36"/>
        <v>2</v>
      </c>
      <c r="G358" s="250">
        <f t="shared" si="37"/>
        <v>1</v>
      </c>
      <c r="H358" s="251">
        <f>4*D358*'[3]Base Costs'!$B$7</f>
        <v>15275.036394356608</v>
      </c>
      <c r="I358" s="252">
        <f>4*IF(E358&lt;=3,E358*'[3]Base Costs'!$B$8,IF(F358&lt;=3,F358*'[3]Base Costs'!$B$9,'[3]Base Costs'!$B$10*G358))</f>
        <v>2800</v>
      </c>
      <c r="J358" s="253">
        <f>C358*'[3]Base Costs'!$B$6</f>
        <v>19.521893713352743</v>
      </c>
      <c r="K358" s="250">
        <f t="shared" si="38"/>
        <v>3</v>
      </c>
      <c r="L358" s="250">
        <f t="shared" si="39"/>
        <v>1</v>
      </c>
      <c r="M358" s="250">
        <f t="shared" si="40"/>
        <v>1</v>
      </c>
      <c r="N358" s="251">
        <f>4*J358*'[3]Base Costs'!$B$7</f>
        <v>3879.8592441665778</v>
      </c>
      <c r="O358" s="252">
        <f>4*IF(K358&lt;=3,K358*'[3]Base Costs'!$B$8,IF(L358&lt;=3,L358*'[3]Base Costs'!$B$9,'[3]Base Costs'!$B$10*M358))</f>
        <v>1500</v>
      </c>
      <c r="P358" s="252">
        <f>4*C358*'[3]Base Costs'!$B$11</f>
        <v>15371.569853033656</v>
      </c>
      <c r="Q358">
        <f>'[3]Base Costs'!$B$13+'[3]Base Costs'!$B$14</f>
        <v>414</v>
      </c>
      <c r="R358" s="239">
        <f>'[3]Base Costs'!$D$2</f>
        <v>1105.3024868650327</v>
      </c>
      <c r="S358" s="254">
        <f t="shared" si="41"/>
        <v>6899.1617310316105</v>
      </c>
    </row>
    <row r="359" spans="1:19" x14ac:dyDescent="0.25">
      <c r="A359" s="248" t="s">
        <v>1003</v>
      </c>
      <c r="B359" s="248" t="s">
        <v>984</v>
      </c>
      <c r="C359" s="249">
        <v>248.03077956111065</v>
      </c>
      <c r="D359" s="250">
        <f>C359*'[3]Base Costs'!$B$5</f>
        <v>248.03077956111065</v>
      </c>
      <c r="E359" s="250">
        <f t="shared" si="35"/>
        <v>32</v>
      </c>
      <c r="F359" s="250">
        <f t="shared" si="36"/>
        <v>7</v>
      </c>
      <c r="G359" s="250">
        <f t="shared" si="37"/>
        <v>2</v>
      </c>
      <c r="H359" s="251">
        <f>4*D359*'[3]Base Costs'!$B$7</f>
        <v>49294.629253093379</v>
      </c>
      <c r="I359" s="252">
        <f>4*IF(E359&lt;=3,E359*'[3]Base Costs'!$B$8,IF(F359&lt;=3,F359*'[3]Base Costs'!$B$9,'[3]Base Costs'!$B$10*G359))</f>
        <v>8800</v>
      </c>
      <c r="J359" s="253">
        <f>C359*'[3]Base Costs'!$B$6</f>
        <v>62.999818008522105</v>
      </c>
      <c r="K359" s="250">
        <f t="shared" si="38"/>
        <v>8</v>
      </c>
      <c r="L359" s="250">
        <f t="shared" si="39"/>
        <v>2</v>
      </c>
      <c r="M359" s="250">
        <f t="shared" si="40"/>
        <v>1</v>
      </c>
      <c r="N359" s="251">
        <f>4*J359*'[3]Base Costs'!$B$7</f>
        <v>12520.83583028572</v>
      </c>
      <c r="O359" s="252">
        <f>4*IF(K359&lt;=3,K359*'[3]Base Costs'!$B$8,IF(L359&lt;=3,L359*'[3]Base Costs'!$B$9,'[3]Base Costs'!$B$10*M359))</f>
        <v>2800</v>
      </c>
      <c r="P359" s="252">
        <f>4*C359*'[3]Base Costs'!$B$11</f>
        <v>49606.15591222213</v>
      </c>
      <c r="Q359">
        <f>'[3]Base Costs'!$B$13+'[3]Base Costs'!$B$14</f>
        <v>414</v>
      </c>
      <c r="R359" s="239">
        <f>'[3]Base Costs'!$D$2</f>
        <v>1105.3024868650327</v>
      </c>
      <c r="S359" s="254">
        <f t="shared" si="41"/>
        <v>16840.138317150751</v>
      </c>
    </row>
    <row r="360" spans="1:19" x14ac:dyDescent="0.25">
      <c r="A360" s="248" t="s">
        <v>1003</v>
      </c>
      <c r="B360" s="248" t="s">
        <v>1002</v>
      </c>
      <c r="C360" s="249">
        <v>116.51537910425525</v>
      </c>
      <c r="D360" s="250">
        <f>C360*'[3]Base Costs'!$B$5</f>
        <v>116.51537910425525</v>
      </c>
      <c r="E360" s="250">
        <f t="shared" si="35"/>
        <v>15</v>
      </c>
      <c r="F360" s="250">
        <f t="shared" si="36"/>
        <v>3</v>
      </c>
      <c r="G360" s="250">
        <f t="shared" si="37"/>
        <v>1</v>
      </c>
      <c r="H360" s="251">
        <f>4*D360*'[3]Base Costs'!$B$7</f>
        <v>23156.732504696109</v>
      </c>
      <c r="I360" s="252">
        <f>4*IF(E360&lt;=3,E360*'[3]Base Costs'!$B$8,IF(F360&lt;=3,F360*'[3]Base Costs'!$B$9,'[3]Base Costs'!$B$10*G360))</f>
        <v>4200</v>
      </c>
      <c r="J360" s="253">
        <f>C360*'[3]Base Costs'!$B$6</f>
        <v>29.594906292480832</v>
      </c>
      <c r="K360" s="250">
        <f t="shared" si="38"/>
        <v>4</v>
      </c>
      <c r="L360" s="250">
        <f t="shared" si="39"/>
        <v>1</v>
      </c>
      <c r="M360" s="250">
        <f t="shared" si="40"/>
        <v>1</v>
      </c>
      <c r="N360" s="251">
        <f>4*J360*'[3]Base Costs'!$B$7</f>
        <v>5881.8100561928113</v>
      </c>
      <c r="O360" s="252">
        <f>4*IF(K360&lt;=3,K360*'[3]Base Costs'!$B$8,IF(L360&lt;=3,L360*'[3]Base Costs'!$B$9,'[3]Base Costs'!$B$10*M360))</f>
        <v>1400</v>
      </c>
      <c r="P360" s="252">
        <f>4*C360*'[3]Base Costs'!$B$11</f>
        <v>23303.075820851049</v>
      </c>
      <c r="Q360">
        <f>'[3]Base Costs'!$B$13+'[3]Base Costs'!$B$14</f>
        <v>414</v>
      </c>
      <c r="R360" s="239">
        <f>'[3]Base Costs'!$D$2</f>
        <v>1105.3024868650327</v>
      </c>
      <c r="S360" s="254">
        <f t="shared" si="41"/>
        <v>8801.1125430578431</v>
      </c>
    </row>
    <row r="361" spans="1:19" x14ac:dyDescent="0.25">
      <c r="A361" s="248" t="s">
        <v>1003</v>
      </c>
      <c r="B361" s="248" t="s">
        <v>985</v>
      </c>
      <c r="C361" s="249">
        <v>134.21580695873169</v>
      </c>
      <c r="D361" s="250">
        <f>C361*'[3]Base Costs'!$B$5</f>
        <v>134.21580695873169</v>
      </c>
      <c r="E361" s="250">
        <f t="shared" si="35"/>
        <v>17</v>
      </c>
      <c r="F361" s="250">
        <f t="shared" si="36"/>
        <v>4</v>
      </c>
      <c r="G361" s="250">
        <f t="shared" si="37"/>
        <v>1</v>
      </c>
      <c r="H361" s="251">
        <f>4*D361*'[3]Base Costs'!$B$7</f>
        <v>26674.586338206176</v>
      </c>
      <c r="I361" s="252">
        <f>4*IF(E361&lt;=3,E361*'[3]Base Costs'!$B$8,IF(F361&lt;=3,F361*'[3]Base Costs'!$B$9,'[3]Base Costs'!$B$10*G361))</f>
        <v>4400</v>
      </c>
      <c r="J361" s="253">
        <f>C361*'[3]Base Costs'!$B$6</f>
        <v>34.090814967517851</v>
      </c>
      <c r="K361" s="250">
        <f t="shared" si="38"/>
        <v>5</v>
      </c>
      <c r="L361" s="250">
        <f t="shared" si="39"/>
        <v>1</v>
      </c>
      <c r="M361" s="250">
        <f t="shared" si="40"/>
        <v>1</v>
      </c>
      <c r="N361" s="251">
        <f>4*J361*'[3]Base Costs'!$B$7</f>
        <v>6775.3449299043687</v>
      </c>
      <c r="O361" s="252">
        <f>4*IF(K361&lt;=3,K361*'[3]Base Costs'!$B$8,IF(L361&lt;=3,L361*'[3]Base Costs'!$B$9,'[3]Base Costs'!$B$10*M361))</f>
        <v>1400</v>
      </c>
      <c r="P361" s="252">
        <f>4*C361*'[3]Base Costs'!$B$11</f>
        <v>26843.161391746336</v>
      </c>
      <c r="Q361">
        <f>'[3]Base Costs'!$B$13+'[3]Base Costs'!$B$14</f>
        <v>414</v>
      </c>
      <c r="R361" s="239">
        <f>'[3]Base Costs'!$D$2</f>
        <v>1105.3024868650327</v>
      </c>
      <c r="S361" s="254">
        <f t="shared" si="41"/>
        <v>9694.6474167694014</v>
      </c>
    </row>
    <row r="362" spans="1:19" x14ac:dyDescent="0.25">
      <c r="A362" s="248" t="s">
        <v>1003</v>
      </c>
      <c r="B362" s="248" t="s">
        <v>986</v>
      </c>
      <c r="C362" s="249">
        <v>52.099865305000002</v>
      </c>
      <c r="D362" s="250">
        <f>C362*'[3]Base Costs'!$B$5</f>
        <v>52.099865305000002</v>
      </c>
      <c r="E362" s="250">
        <f t="shared" si="35"/>
        <v>7</v>
      </c>
      <c r="F362" s="250">
        <f t="shared" si="36"/>
        <v>2</v>
      </c>
      <c r="G362" s="250">
        <f t="shared" si="37"/>
        <v>1</v>
      </c>
      <c r="H362" s="251">
        <f>4*D362*'[3]Base Costs'!$B$7</f>
        <v>10354.535630176922</v>
      </c>
      <c r="I362" s="252">
        <f>4*IF(E362&lt;=3,E362*'[3]Base Costs'!$B$8,IF(F362&lt;=3,F362*'[3]Base Costs'!$B$9,'[3]Base Costs'!$B$10*G362))</f>
        <v>2800</v>
      </c>
      <c r="J362" s="253">
        <f>C362*'[3]Base Costs'!$B$6</f>
        <v>13.233365787470001</v>
      </c>
      <c r="K362" s="250">
        <f t="shared" si="38"/>
        <v>2</v>
      </c>
      <c r="L362" s="250">
        <f t="shared" si="39"/>
        <v>1</v>
      </c>
      <c r="M362" s="250">
        <f t="shared" si="40"/>
        <v>1</v>
      </c>
      <c r="N362" s="251">
        <f>4*J362*'[3]Base Costs'!$B$7</f>
        <v>2630.0520500649382</v>
      </c>
      <c r="O362" s="252">
        <f>4*IF(K362&lt;=3,K362*'[3]Base Costs'!$B$8,IF(L362&lt;=3,L362*'[3]Base Costs'!$B$9,'[3]Base Costs'!$B$10*M362))</f>
        <v>1000</v>
      </c>
      <c r="P362" s="252">
        <f>4*C362*'[3]Base Costs'!$B$11</f>
        <v>10419.973061000001</v>
      </c>
      <c r="Q362">
        <f>'[3]Base Costs'!$B$13+'[3]Base Costs'!$B$14</f>
        <v>414</v>
      </c>
      <c r="R362" s="239">
        <f>'[3]Base Costs'!$D$2</f>
        <v>1105.3024868650327</v>
      </c>
      <c r="S362" s="254">
        <f t="shared" si="41"/>
        <v>5149.3545369299709</v>
      </c>
    </row>
    <row r="363" spans="1:19" x14ac:dyDescent="0.25">
      <c r="A363" s="248" t="s">
        <v>1003</v>
      </c>
      <c r="B363" s="248" t="s">
        <v>987</v>
      </c>
      <c r="C363" s="249">
        <v>66.921262112948611</v>
      </c>
      <c r="D363" s="250">
        <f>C363*'[3]Base Costs'!$B$5</f>
        <v>66.921262112948611</v>
      </c>
      <c r="E363" s="250">
        <f t="shared" si="35"/>
        <v>9</v>
      </c>
      <c r="F363" s="250">
        <f t="shared" si="36"/>
        <v>2</v>
      </c>
      <c r="G363" s="250">
        <f t="shared" si="37"/>
        <v>1</v>
      </c>
      <c r="H363" s="251">
        <f>4*D363*'[3]Base Costs'!$B$7</f>
        <v>13300.19931737586</v>
      </c>
      <c r="I363" s="252">
        <f>4*IF(E363&lt;=3,E363*'[3]Base Costs'!$B$8,IF(F363&lt;=3,F363*'[3]Base Costs'!$B$9,'[3]Base Costs'!$B$10*G363))</f>
        <v>2800</v>
      </c>
      <c r="J363" s="253">
        <f>C363*'[3]Base Costs'!$B$6</f>
        <v>16.998000576688948</v>
      </c>
      <c r="K363" s="250">
        <f t="shared" si="38"/>
        <v>3</v>
      </c>
      <c r="L363" s="250">
        <f t="shared" si="39"/>
        <v>1</v>
      </c>
      <c r="M363" s="250">
        <f t="shared" si="40"/>
        <v>1</v>
      </c>
      <c r="N363" s="251">
        <f>4*J363*'[3]Base Costs'!$B$7</f>
        <v>3378.2506266134687</v>
      </c>
      <c r="O363" s="252">
        <f>4*IF(K363&lt;=3,K363*'[3]Base Costs'!$B$8,IF(L363&lt;=3,L363*'[3]Base Costs'!$B$9,'[3]Base Costs'!$B$10*M363))</f>
        <v>1500</v>
      </c>
      <c r="P363" s="252">
        <f>4*C363*'[3]Base Costs'!$B$11</f>
        <v>13384.252422589721</v>
      </c>
      <c r="Q363">
        <f>'[3]Base Costs'!$B$13+'[3]Base Costs'!$B$14</f>
        <v>414</v>
      </c>
      <c r="R363" s="239">
        <f>'[3]Base Costs'!$D$2</f>
        <v>1105.3024868650327</v>
      </c>
      <c r="S363" s="254">
        <f t="shared" si="41"/>
        <v>6397.5531134785015</v>
      </c>
    </row>
    <row r="364" spans="1:19" x14ac:dyDescent="0.25">
      <c r="A364" s="248" t="s">
        <v>1004</v>
      </c>
      <c r="B364" s="248" t="s">
        <v>873</v>
      </c>
      <c r="C364" s="249">
        <v>200.60310447638173</v>
      </c>
      <c r="D364" s="250">
        <f>C364*'[3]Base Costs'!$B$5</f>
        <v>200.60310447638173</v>
      </c>
      <c r="E364" s="250">
        <f t="shared" si="35"/>
        <v>26</v>
      </c>
      <c r="F364" s="250">
        <f t="shared" si="36"/>
        <v>6</v>
      </c>
      <c r="G364" s="250">
        <f t="shared" si="37"/>
        <v>2</v>
      </c>
      <c r="H364" s="251">
        <f>4*D364*'[3]Base Costs'!$B$7</f>
        <v>39868.663396054013</v>
      </c>
      <c r="I364" s="252">
        <f>4*IF(E364&lt;=3,E364*'[3]Base Costs'!$B$8,IF(F364&lt;=3,F364*'[3]Base Costs'!$B$9,'[3]Base Costs'!$B$10*G364))</f>
        <v>8800</v>
      </c>
      <c r="J364" s="253">
        <f>C364*'[3]Base Costs'!$B$6</f>
        <v>50.953188537000962</v>
      </c>
      <c r="K364" s="250">
        <f t="shared" si="38"/>
        <v>7</v>
      </c>
      <c r="L364" s="250">
        <f t="shared" si="39"/>
        <v>2</v>
      </c>
      <c r="M364" s="250">
        <f t="shared" si="40"/>
        <v>1</v>
      </c>
      <c r="N364" s="251">
        <f>4*J364*'[3]Base Costs'!$B$7</f>
        <v>10126.64050259772</v>
      </c>
      <c r="O364" s="252">
        <f>4*IF(K364&lt;=3,K364*'[3]Base Costs'!$B$8,IF(L364&lt;=3,L364*'[3]Base Costs'!$B$9,'[3]Base Costs'!$B$10*M364))</f>
        <v>2800</v>
      </c>
      <c r="P364" s="252">
        <f>4*C364*'[3]Base Costs'!$B$11</f>
        <v>40120.620895276348</v>
      </c>
      <c r="Q364">
        <f>'[3]Base Costs'!$B$13+'[3]Base Costs'!$B$14</f>
        <v>414</v>
      </c>
      <c r="R364" s="239">
        <f>'[3]Base Costs'!$D$2</f>
        <v>1105.3024868650327</v>
      </c>
      <c r="S364" s="254">
        <f t="shared" si="41"/>
        <v>14445.942989462754</v>
      </c>
    </row>
    <row r="365" spans="1:19" x14ac:dyDescent="0.25">
      <c r="A365" s="248" t="s">
        <v>1004</v>
      </c>
      <c r="B365" s="248" t="s">
        <v>876</v>
      </c>
      <c r="C365" s="249">
        <v>82.82749037492151</v>
      </c>
      <c r="D365" s="250">
        <f>C365*'[3]Base Costs'!$B$5</f>
        <v>82.82749037492151</v>
      </c>
      <c r="E365" s="250">
        <f t="shared" si="35"/>
        <v>11</v>
      </c>
      <c r="F365" s="250">
        <f t="shared" si="36"/>
        <v>3</v>
      </c>
      <c r="G365" s="250">
        <f t="shared" si="37"/>
        <v>1</v>
      </c>
      <c r="H365" s="251">
        <f>4*D365*'[3]Base Costs'!$B$7</f>
        <v>16461.466747073402</v>
      </c>
      <c r="I365" s="252">
        <f>4*IF(E365&lt;=3,E365*'[3]Base Costs'!$B$8,IF(F365&lt;=3,F365*'[3]Base Costs'!$B$9,'[3]Base Costs'!$B$10*G365))</f>
        <v>4200</v>
      </c>
      <c r="J365" s="253">
        <f>C365*'[3]Base Costs'!$B$6</f>
        <v>21.038182555230065</v>
      </c>
      <c r="K365" s="250">
        <f t="shared" si="38"/>
        <v>3</v>
      </c>
      <c r="L365" s="250">
        <f t="shared" si="39"/>
        <v>1</v>
      </c>
      <c r="M365" s="250">
        <f t="shared" si="40"/>
        <v>1</v>
      </c>
      <c r="N365" s="251">
        <f>4*J365*'[3]Base Costs'!$B$7</f>
        <v>4181.2125537566444</v>
      </c>
      <c r="O365" s="252">
        <f>4*IF(K365&lt;=3,K365*'[3]Base Costs'!$B$8,IF(L365&lt;=3,L365*'[3]Base Costs'!$B$9,'[3]Base Costs'!$B$10*M365))</f>
        <v>1500</v>
      </c>
      <c r="P365" s="252">
        <f>4*C365*'[3]Base Costs'!$B$11</f>
        <v>16565.498074984302</v>
      </c>
      <c r="Q365">
        <f>'[3]Base Costs'!$B$13+'[3]Base Costs'!$B$14</f>
        <v>414</v>
      </c>
      <c r="R365" s="239">
        <f>'[3]Base Costs'!$D$2</f>
        <v>1105.3024868650327</v>
      </c>
      <c r="S365" s="254">
        <f t="shared" si="41"/>
        <v>7200.5150406216771</v>
      </c>
    </row>
    <row r="366" spans="1:19" x14ac:dyDescent="0.25">
      <c r="A366" s="248" t="s">
        <v>1004</v>
      </c>
      <c r="B366" s="248" t="s">
        <v>989</v>
      </c>
      <c r="C366" s="249">
        <v>53.90341054834267</v>
      </c>
      <c r="D366" s="250">
        <f>C366*'[3]Base Costs'!$B$5</f>
        <v>53.90341054834267</v>
      </c>
      <c r="E366" s="250">
        <f t="shared" si="35"/>
        <v>7</v>
      </c>
      <c r="F366" s="250">
        <f t="shared" si="36"/>
        <v>2</v>
      </c>
      <c r="G366" s="250">
        <f t="shared" si="37"/>
        <v>1</v>
      </c>
      <c r="H366" s="251">
        <f>4*D366*'[3]Base Costs'!$B$7</f>
        <v>10712.979426019818</v>
      </c>
      <c r="I366" s="252">
        <f>4*IF(E366&lt;=3,E366*'[3]Base Costs'!$B$8,IF(F366&lt;=3,F366*'[3]Base Costs'!$B$9,'[3]Base Costs'!$B$10*G366))</f>
        <v>2800</v>
      </c>
      <c r="J366" s="253">
        <f>C366*'[3]Base Costs'!$B$6</f>
        <v>13.691466279279039</v>
      </c>
      <c r="K366" s="250">
        <f t="shared" si="38"/>
        <v>2</v>
      </c>
      <c r="L366" s="250">
        <f t="shared" si="39"/>
        <v>1</v>
      </c>
      <c r="M366" s="250">
        <f t="shared" si="40"/>
        <v>1</v>
      </c>
      <c r="N366" s="251">
        <f>4*J366*'[3]Base Costs'!$B$7</f>
        <v>2721.0967742090338</v>
      </c>
      <c r="O366" s="252">
        <f>4*IF(K366&lt;=3,K366*'[3]Base Costs'!$B$8,IF(L366&lt;=3,L366*'[3]Base Costs'!$B$9,'[3]Base Costs'!$B$10*M366))</f>
        <v>1000</v>
      </c>
      <c r="P366" s="252">
        <f>4*C366*'[3]Base Costs'!$B$11</f>
        <v>10780.682109668534</v>
      </c>
      <c r="Q366">
        <f>'[3]Base Costs'!$B$13+'[3]Base Costs'!$B$14</f>
        <v>414</v>
      </c>
      <c r="R366" s="239">
        <f>'[3]Base Costs'!$D$2</f>
        <v>1105.3024868650327</v>
      </c>
      <c r="S366" s="254">
        <f t="shared" si="41"/>
        <v>5240.3992610740661</v>
      </c>
    </row>
    <row r="367" spans="1:19" x14ac:dyDescent="0.25">
      <c r="A367" s="248" t="s">
        <v>1004</v>
      </c>
      <c r="B367" s="248" t="s">
        <v>878</v>
      </c>
      <c r="C367" s="249">
        <v>159.39973624500001</v>
      </c>
      <c r="D367" s="250">
        <f>C367*'[3]Base Costs'!$B$5</f>
        <v>159.39973624500001</v>
      </c>
      <c r="E367" s="250">
        <f t="shared" si="35"/>
        <v>20</v>
      </c>
      <c r="F367" s="250">
        <f t="shared" si="36"/>
        <v>4</v>
      </c>
      <c r="G367" s="250">
        <f t="shared" si="37"/>
        <v>1</v>
      </c>
      <c r="H367" s="251">
        <f>4*D367*'[3]Base Costs'!$B$7</f>
        <v>31679.741180276287</v>
      </c>
      <c r="I367" s="252">
        <f>4*IF(E367&lt;=3,E367*'[3]Base Costs'!$B$8,IF(F367&lt;=3,F367*'[3]Base Costs'!$B$9,'[3]Base Costs'!$B$10*G367))</f>
        <v>4400</v>
      </c>
      <c r="J367" s="253">
        <f>C367*'[3]Base Costs'!$B$6</f>
        <v>40.487533006230002</v>
      </c>
      <c r="K367" s="250">
        <f t="shared" si="38"/>
        <v>6</v>
      </c>
      <c r="L367" s="250">
        <f t="shared" si="39"/>
        <v>2</v>
      </c>
      <c r="M367" s="250">
        <f t="shared" si="40"/>
        <v>1</v>
      </c>
      <c r="N367" s="251">
        <f>4*J367*'[3]Base Costs'!$B$7</f>
        <v>8046.6542597901771</v>
      </c>
      <c r="O367" s="252">
        <f>4*IF(K367&lt;=3,K367*'[3]Base Costs'!$B$8,IF(L367&lt;=3,L367*'[3]Base Costs'!$B$9,'[3]Base Costs'!$B$10*M367))</f>
        <v>2800</v>
      </c>
      <c r="P367" s="252">
        <f>4*C367*'[3]Base Costs'!$B$11</f>
        <v>31879.947249000004</v>
      </c>
      <c r="Q367">
        <f>'[3]Base Costs'!$B$13+'[3]Base Costs'!$B$14</f>
        <v>414</v>
      </c>
      <c r="R367" s="239">
        <f>'[3]Base Costs'!$D$2</f>
        <v>1105.3024868650327</v>
      </c>
      <c r="S367" s="254">
        <f t="shared" si="41"/>
        <v>12365.956746655211</v>
      </c>
    </row>
    <row r="368" spans="1:19" x14ac:dyDescent="0.25">
      <c r="A368" s="248" t="s">
        <v>1004</v>
      </c>
      <c r="B368" s="248" t="s">
        <v>879</v>
      </c>
      <c r="C368" s="249">
        <v>72.930463870959656</v>
      </c>
      <c r="D368" s="250">
        <f>C368*'[3]Base Costs'!$B$5</f>
        <v>72.930463870959656</v>
      </c>
      <c r="E368" s="250">
        <f t="shared" si="35"/>
        <v>10</v>
      </c>
      <c r="F368" s="250">
        <f t="shared" si="36"/>
        <v>2</v>
      </c>
      <c r="G368" s="250">
        <f t="shared" si="37"/>
        <v>1</v>
      </c>
      <c r="H368" s="251">
        <f>4*D368*'[3]Base Costs'!$B$7</f>
        <v>14494.492111570007</v>
      </c>
      <c r="I368" s="252">
        <f>4*IF(E368&lt;=3,E368*'[3]Base Costs'!$B$8,IF(F368&lt;=3,F368*'[3]Base Costs'!$B$9,'[3]Base Costs'!$B$10*G368))</f>
        <v>2800</v>
      </c>
      <c r="J368" s="253">
        <f>C368*'[3]Base Costs'!$B$6</f>
        <v>18.524337823223753</v>
      </c>
      <c r="K368" s="250">
        <f t="shared" si="38"/>
        <v>3</v>
      </c>
      <c r="L368" s="250">
        <f t="shared" si="39"/>
        <v>1</v>
      </c>
      <c r="M368" s="250">
        <f t="shared" si="40"/>
        <v>1</v>
      </c>
      <c r="N368" s="251">
        <f>4*J368*'[3]Base Costs'!$B$7</f>
        <v>3681.6009963387824</v>
      </c>
      <c r="O368" s="252">
        <f>4*IF(K368&lt;=3,K368*'[3]Base Costs'!$B$8,IF(L368&lt;=3,L368*'[3]Base Costs'!$B$9,'[3]Base Costs'!$B$10*M368))</f>
        <v>1500</v>
      </c>
      <c r="P368" s="252">
        <f>4*C368*'[3]Base Costs'!$B$11</f>
        <v>14586.092774191931</v>
      </c>
      <c r="Q368">
        <f>'[3]Base Costs'!$B$13+'[3]Base Costs'!$B$14</f>
        <v>414</v>
      </c>
      <c r="R368" s="239">
        <f>'[3]Base Costs'!$D$2</f>
        <v>1105.3024868650327</v>
      </c>
      <c r="S368" s="254">
        <f t="shared" si="41"/>
        <v>6700.9034832038151</v>
      </c>
    </row>
    <row r="369" spans="1:19" x14ac:dyDescent="0.25">
      <c r="A369" s="248" t="s">
        <v>1004</v>
      </c>
      <c r="B369" s="248" t="s">
        <v>880</v>
      </c>
      <c r="C369" s="249">
        <v>67.248775165789667</v>
      </c>
      <c r="D369" s="250">
        <f>C369*'[3]Base Costs'!$B$5</f>
        <v>67.248775165789667</v>
      </c>
      <c r="E369" s="250">
        <f t="shared" si="35"/>
        <v>9</v>
      </c>
      <c r="F369" s="250">
        <f t="shared" si="36"/>
        <v>2</v>
      </c>
      <c r="G369" s="250">
        <f t="shared" si="37"/>
        <v>1</v>
      </c>
      <c r="H369" s="251">
        <f>4*D369*'[3]Base Costs'!$B$7</f>
        <v>13365.290571549704</v>
      </c>
      <c r="I369" s="252">
        <f>4*IF(E369&lt;=3,E369*'[3]Base Costs'!$B$8,IF(F369&lt;=3,F369*'[3]Base Costs'!$B$9,'[3]Base Costs'!$B$10*G369))</f>
        <v>2800</v>
      </c>
      <c r="J369" s="253">
        <f>C369*'[3]Base Costs'!$B$6</f>
        <v>17.081188892110575</v>
      </c>
      <c r="K369" s="250">
        <f t="shared" si="38"/>
        <v>3</v>
      </c>
      <c r="L369" s="250">
        <f t="shared" si="39"/>
        <v>1</v>
      </c>
      <c r="M369" s="250">
        <f t="shared" si="40"/>
        <v>1</v>
      </c>
      <c r="N369" s="251">
        <f>4*J369*'[3]Base Costs'!$B$7</f>
        <v>3394.7838051736244</v>
      </c>
      <c r="O369" s="252">
        <f>4*IF(K369&lt;=3,K369*'[3]Base Costs'!$B$8,IF(L369&lt;=3,L369*'[3]Base Costs'!$B$9,'[3]Base Costs'!$B$10*M369))</f>
        <v>1500</v>
      </c>
      <c r="P369" s="252">
        <f>4*C369*'[3]Base Costs'!$B$11</f>
        <v>13449.755033157933</v>
      </c>
      <c r="Q369">
        <f>'[3]Base Costs'!$B$13+'[3]Base Costs'!$B$14</f>
        <v>414</v>
      </c>
      <c r="R369" s="239">
        <f>'[3]Base Costs'!$D$2</f>
        <v>1105.3024868650327</v>
      </c>
      <c r="S369" s="254">
        <f t="shared" si="41"/>
        <v>6414.0862920386571</v>
      </c>
    </row>
    <row r="370" spans="1:19" x14ac:dyDescent="0.25">
      <c r="A370" s="248" t="s">
        <v>1004</v>
      </c>
      <c r="B370" s="248" t="s">
        <v>990</v>
      </c>
      <c r="C370" s="249">
        <v>105.30083049000004</v>
      </c>
      <c r="D370" s="250">
        <f>C370*'[3]Base Costs'!$B$5</f>
        <v>105.30083049000004</v>
      </c>
      <c r="E370" s="250">
        <f t="shared" si="35"/>
        <v>14</v>
      </c>
      <c r="F370" s="250">
        <f t="shared" si="36"/>
        <v>3</v>
      </c>
      <c r="G370" s="250">
        <f t="shared" si="37"/>
        <v>1</v>
      </c>
      <c r="H370" s="251">
        <f>4*D370*'[3]Base Costs'!$B$7</f>
        <v>20927.908254904571</v>
      </c>
      <c r="I370" s="252">
        <f>4*IF(E370&lt;=3,E370*'[3]Base Costs'!$B$8,IF(F370&lt;=3,F370*'[3]Base Costs'!$B$9,'[3]Base Costs'!$B$10*G370))</f>
        <v>4200</v>
      </c>
      <c r="J370" s="253">
        <f>C370*'[3]Base Costs'!$B$6</f>
        <v>26.74641094446001</v>
      </c>
      <c r="K370" s="250">
        <f t="shared" si="38"/>
        <v>4</v>
      </c>
      <c r="L370" s="250">
        <f t="shared" si="39"/>
        <v>1</v>
      </c>
      <c r="M370" s="250">
        <f t="shared" si="40"/>
        <v>1</v>
      </c>
      <c r="N370" s="251">
        <f>4*J370*'[3]Base Costs'!$B$7</f>
        <v>5315.6886967457613</v>
      </c>
      <c r="O370" s="252">
        <f>4*IF(K370&lt;=3,K370*'[3]Base Costs'!$B$8,IF(L370&lt;=3,L370*'[3]Base Costs'!$B$9,'[3]Base Costs'!$B$10*M370))</f>
        <v>1400</v>
      </c>
      <c r="P370" s="252">
        <f>4*C370*'[3]Base Costs'!$B$11</f>
        <v>21060.166098000009</v>
      </c>
      <c r="Q370">
        <f>'[3]Base Costs'!$B$13+'[3]Base Costs'!$B$14</f>
        <v>414</v>
      </c>
      <c r="R370" s="239">
        <f>'[3]Base Costs'!$D$2</f>
        <v>1105.3024868650327</v>
      </c>
      <c r="S370" s="254">
        <f t="shared" si="41"/>
        <v>8234.9911836107931</v>
      </c>
    </row>
    <row r="371" spans="1:19" x14ac:dyDescent="0.25">
      <c r="A371" s="248" t="s">
        <v>1004</v>
      </c>
      <c r="B371" s="248" t="s">
        <v>881</v>
      </c>
      <c r="C371" s="249">
        <v>88.505715107066351</v>
      </c>
      <c r="D371" s="250">
        <f>C371*'[3]Base Costs'!$B$5</f>
        <v>88.505715107066351</v>
      </c>
      <c r="E371" s="250">
        <f t="shared" si="35"/>
        <v>12</v>
      </c>
      <c r="F371" s="250">
        <f t="shared" si="36"/>
        <v>3</v>
      </c>
      <c r="G371" s="250">
        <f t="shared" si="37"/>
        <v>1</v>
      </c>
      <c r="H371" s="251">
        <f>4*D371*'[3]Base Costs'!$B$7</f>
        <v>17589.979843238798</v>
      </c>
      <c r="I371" s="252">
        <f>4*IF(E371&lt;=3,E371*'[3]Base Costs'!$B$8,IF(F371&lt;=3,F371*'[3]Base Costs'!$B$9,'[3]Base Costs'!$B$10*G371))</f>
        <v>4200</v>
      </c>
      <c r="J371" s="253">
        <f>C371*'[3]Base Costs'!$B$6</f>
        <v>22.480451637194854</v>
      </c>
      <c r="K371" s="250">
        <f t="shared" si="38"/>
        <v>3</v>
      </c>
      <c r="L371" s="250">
        <f t="shared" si="39"/>
        <v>1</v>
      </c>
      <c r="M371" s="250">
        <f t="shared" si="40"/>
        <v>1</v>
      </c>
      <c r="N371" s="251">
        <f>4*J371*'[3]Base Costs'!$B$7</f>
        <v>4467.8548801826546</v>
      </c>
      <c r="O371" s="252">
        <f>4*IF(K371&lt;=3,K371*'[3]Base Costs'!$B$8,IF(L371&lt;=3,L371*'[3]Base Costs'!$B$9,'[3]Base Costs'!$B$10*M371))</f>
        <v>1500</v>
      </c>
      <c r="P371" s="252">
        <f>4*C371*'[3]Base Costs'!$B$11</f>
        <v>17701.143021413271</v>
      </c>
      <c r="Q371">
        <f>'[3]Base Costs'!$B$13+'[3]Base Costs'!$B$14</f>
        <v>414</v>
      </c>
      <c r="R371" s="239">
        <f>'[3]Base Costs'!$D$2</f>
        <v>1105.3024868650327</v>
      </c>
      <c r="S371" s="254">
        <f t="shared" si="41"/>
        <v>7487.1573670476873</v>
      </c>
    </row>
    <row r="372" spans="1:19" x14ac:dyDescent="0.25">
      <c r="A372" s="248" t="s">
        <v>1004</v>
      </c>
      <c r="B372" s="248" t="s">
        <v>991</v>
      </c>
      <c r="C372" s="249">
        <v>106.8926648862298</v>
      </c>
      <c r="D372" s="250">
        <f>C372*'[3]Base Costs'!$B$5</f>
        <v>106.8926648862298</v>
      </c>
      <c r="E372" s="250">
        <f t="shared" si="35"/>
        <v>14</v>
      </c>
      <c r="F372" s="250">
        <f t="shared" si="36"/>
        <v>3</v>
      </c>
      <c r="G372" s="250">
        <f t="shared" si="37"/>
        <v>1</v>
      </c>
      <c r="H372" s="251">
        <f>4*D372*'[3]Base Costs'!$B$7</f>
        <v>21244.275790148859</v>
      </c>
      <c r="I372" s="252">
        <f>4*IF(E372&lt;=3,E372*'[3]Base Costs'!$B$8,IF(F372&lt;=3,F372*'[3]Base Costs'!$B$9,'[3]Base Costs'!$B$10*G372))</f>
        <v>4200</v>
      </c>
      <c r="J372" s="253">
        <f>C372*'[3]Base Costs'!$B$6</f>
        <v>27.150736881102368</v>
      </c>
      <c r="K372" s="250">
        <f t="shared" si="38"/>
        <v>4</v>
      </c>
      <c r="L372" s="250">
        <f t="shared" si="39"/>
        <v>1</v>
      </c>
      <c r="M372" s="250">
        <f t="shared" si="40"/>
        <v>1</v>
      </c>
      <c r="N372" s="251">
        <f>4*J372*'[3]Base Costs'!$B$7</f>
        <v>5396.0460506978097</v>
      </c>
      <c r="O372" s="252">
        <f>4*IF(K372&lt;=3,K372*'[3]Base Costs'!$B$8,IF(L372&lt;=3,L372*'[3]Base Costs'!$B$9,'[3]Base Costs'!$B$10*M372))</f>
        <v>1400</v>
      </c>
      <c r="P372" s="252">
        <f>4*C372*'[3]Base Costs'!$B$11</f>
        <v>21378.532977245959</v>
      </c>
      <c r="Q372">
        <f>'[3]Base Costs'!$B$13+'[3]Base Costs'!$B$14</f>
        <v>414</v>
      </c>
      <c r="R372" s="239">
        <f>'[3]Base Costs'!$D$2</f>
        <v>1105.3024868650327</v>
      </c>
      <c r="S372" s="254">
        <f t="shared" si="41"/>
        <v>8315.3485375628425</v>
      </c>
    </row>
    <row r="373" spans="1:19" x14ac:dyDescent="0.25">
      <c r="A373" s="248" t="s">
        <v>1004</v>
      </c>
      <c r="B373" s="248" t="s">
        <v>1005</v>
      </c>
      <c r="C373" s="249">
        <v>60.690725041827456</v>
      </c>
      <c r="D373" s="250">
        <f>C373*'[3]Base Costs'!$B$5</f>
        <v>60.690725041827456</v>
      </c>
      <c r="E373" s="250">
        <f t="shared" si="35"/>
        <v>8</v>
      </c>
      <c r="F373" s="250">
        <f t="shared" si="36"/>
        <v>2</v>
      </c>
      <c r="G373" s="250">
        <f t="shared" si="37"/>
        <v>1</v>
      </c>
      <c r="H373" s="251">
        <f>4*D373*'[3]Base Costs'!$B$7</f>
        <v>12061.917457712958</v>
      </c>
      <c r="I373" s="252">
        <f>4*IF(E373&lt;=3,E373*'[3]Base Costs'!$B$8,IF(F373&lt;=3,F373*'[3]Base Costs'!$B$9,'[3]Base Costs'!$B$10*G373))</f>
        <v>2800</v>
      </c>
      <c r="J373" s="253">
        <f>C373*'[3]Base Costs'!$B$6</f>
        <v>15.415444160624174</v>
      </c>
      <c r="K373" s="250">
        <f t="shared" si="38"/>
        <v>2</v>
      </c>
      <c r="L373" s="250">
        <f t="shared" si="39"/>
        <v>1</v>
      </c>
      <c r="M373" s="250">
        <f t="shared" si="40"/>
        <v>1</v>
      </c>
      <c r="N373" s="251">
        <f>4*J373*'[3]Base Costs'!$B$7</f>
        <v>3063.7270342590914</v>
      </c>
      <c r="O373" s="252">
        <f>4*IF(K373&lt;=3,K373*'[3]Base Costs'!$B$8,IF(L373&lt;=3,L373*'[3]Base Costs'!$B$9,'[3]Base Costs'!$B$10*M373))</f>
        <v>1000</v>
      </c>
      <c r="P373" s="252">
        <f>4*C373*'[3]Base Costs'!$B$11</f>
        <v>12138.145008365491</v>
      </c>
      <c r="Q373">
        <f>'[3]Base Costs'!$B$13+'[3]Base Costs'!$B$14</f>
        <v>414</v>
      </c>
      <c r="R373" s="239">
        <f>'[3]Base Costs'!$D$2</f>
        <v>1105.3024868650327</v>
      </c>
      <c r="S373" s="254">
        <f t="shared" si="41"/>
        <v>5583.0295211241246</v>
      </c>
    </row>
    <row r="374" spans="1:19" x14ac:dyDescent="0.25">
      <c r="A374" s="248" t="s">
        <v>1004</v>
      </c>
      <c r="B374" s="248" t="s">
        <v>992</v>
      </c>
      <c r="C374" s="249">
        <v>101.3215298795519</v>
      </c>
      <c r="D374" s="250">
        <f>C374*'[3]Base Costs'!$B$5</f>
        <v>101.3215298795519</v>
      </c>
      <c r="E374" s="250">
        <f t="shared" si="35"/>
        <v>13</v>
      </c>
      <c r="F374" s="250">
        <f t="shared" si="36"/>
        <v>3</v>
      </c>
      <c r="G374" s="250">
        <f t="shared" si="37"/>
        <v>1</v>
      </c>
      <c r="H374" s="251">
        <f>4*D374*'[3]Base Costs'!$B$7</f>
        <v>20137.046134381668</v>
      </c>
      <c r="I374" s="252">
        <f>4*IF(E374&lt;=3,E374*'[3]Base Costs'!$B$8,IF(F374&lt;=3,F374*'[3]Base Costs'!$B$9,'[3]Base Costs'!$B$10*G374))</f>
        <v>4200</v>
      </c>
      <c r="J374" s="253">
        <f>C374*'[3]Base Costs'!$B$6</f>
        <v>25.735668589406185</v>
      </c>
      <c r="K374" s="250">
        <f t="shared" si="38"/>
        <v>4</v>
      </c>
      <c r="L374" s="250">
        <f t="shared" si="39"/>
        <v>1</v>
      </c>
      <c r="M374" s="250">
        <f t="shared" si="40"/>
        <v>1</v>
      </c>
      <c r="N374" s="251">
        <f>4*J374*'[3]Base Costs'!$B$7</f>
        <v>5114.8097181329431</v>
      </c>
      <c r="O374" s="252">
        <f>4*IF(K374&lt;=3,K374*'[3]Base Costs'!$B$8,IF(L374&lt;=3,L374*'[3]Base Costs'!$B$9,'[3]Base Costs'!$B$10*M374))</f>
        <v>1400</v>
      </c>
      <c r="P374" s="252">
        <f>4*C374*'[3]Base Costs'!$B$11</f>
        <v>20264.305975910382</v>
      </c>
      <c r="Q374">
        <f>'[3]Base Costs'!$B$13+'[3]Base Costs'!$B$14</f>
        <v>414</v>
      </c>
      <c r="R374" s="239">
        <f>'[3]Base Costs'!$D$2</f>
        <v>1105.3024868650327</v>
      </c>
      <c r="S374" s="254">
        <f t="shared" si="41"/>
        <v>8034.1122049979758</v>
      </c>
    </row>
    <row r="375" spans="1:19" x14ac:dyDescent="0.25">
      <c r="A375" s="248" t="s">
        <v>1004</v>
      </c>
      <c r="B375" s="248" t="s">
        <v>882</v>
      </c>
      <c r="C375" s="249">
        <v>181.74810091532655</v>
      </c>
      <c r="D375" s="250">
        <f>C375*'[3]Base Costs'!$B$5</f>
        <v>181.74810091532655</v>
      </c>
      <c r="E375" s="250">
        <f t="shared" si="35"/>
        <v>23</v>
      </c>
      <c r="F375" s="250">
        <f t="shared" si="36"/>
        <v>5</v>
      </c>
      <c r="G375" s="250">
        <f t="shared" si="37"/>
        <v>2</v>
      </c>
      <c r="H375" s="251">
        <f>4*D375*'[3]Base Costs'!$B$7</f>
        <v>36121.344568315661</v>
      </c>
      <c r="I375" s="252">
        <f>4*IF(E375&lt;=3,E375*'[3]Base Costs'!$B$8,IF(F375&lt;=3,F375*'[3]Base Costs'!$B$9,'[3]Base Costs'!$B$10*G375))</f>
        <v>8800</v>
      </c>
      <c r="J375" s="253">
        <f>C375*'[3]Base Costs'!$B$6</f>
        <v>46.164017632492943</v>
      </c>
      <c r="K375" s="250">
        <f t="shared" si="38"/>
        <v>6</v>
      </c>
      <c r="L375" s="250">
        <f t="shared" si="39"/>
        <v>2</v>
      </c>
      <c r="M375" s="250">
        <f t="shared" si="40"/>
        <v>1</v>
      </c>
      <c r="N375" s="251">
        <f>4*J375*'[3]Base Costs'!$B$7</f>
        <v>9174.8215203521795</v>
      </c>
      <c r="O375" s="252">
        <f>4*IF(K375&lt;=3,K375*'[3]Base Costs'!$B$8,IF(L375&lt;=3,L375*'[3]Base Costs'!$B$9,'[3]Base Costs'!$B$10*M375))</f>
        <v>2800</v>
      </c>
      <c r="P375" s="252">
        <f>4*C375*'[3]Base Costs'!$B$11</f>
        <v>36349.620183065308</v>
      </c>
      <c r="Q375">
        <f>'[3]Base Costs'!$B$13+'[3]Base Costs'!$B$14</f>
        <v>414</v>
      </c>
      <c r="R375" s="239">
        <f>'[3]Base Costs'!$D$2</f>
        <v>1105.3024868650327</v>
      </c>
      <c r="S375" s="254">
        <f t="shared" si="41"/>
        <v>13494.124007217211</v>
      </c>
    </row>
    <row r="376" spans="1:19" x14ac:dyDescent="0.25">
      <c r="A376" s="248" t="s">
        <v>1004</v>
      </c>
      <c r="B376" s="248" t="s">
        <v>883</v>
      </c>
      <c r="C376" s="249">
        <v>337.40546097603425</v>
      </c>
      <c r="D376" s="250">
        <f>C376*'[3]Base Costs'!$B$5</f>
        <v>337.40546097603425</v>
      </c>
      <c r="E376" s="250">
        <f t="shared" si="35"/>
        <v>43</v>
      </c>
      <c r="F376" s="250">
        <f t="shared" si="36"/>
        <v>9</v>
      </c>
      <c r="G376" s="250">
        <f t="shared" si="37"/>
        <v>3</v>
      </c>
      <c r="H376" s="251">
        <f>4*D376*'[3]Base Costs'!$B$7</f>
        <v>67057.310936220965</v>
      </c>
      <c r="I376" s="252">
        <f>4*IF(E376&lt;=3,E376*'[3]Base Costs'!$B$8,IF(F376&lt;=3,F376*'[3]Base Costs'!$B$9,'[3]Base Costs'!$B$10*G376))</f>
        <v>13200</v>
      </c>
      <c r="J376" s="253">
        <f>C376*'[3]Base Costs'!$B$6</f>
        <v>85.700987087912694</v>
      </c>
      <c r="K376" s="250">
        <f t="shared" si="38"/>
        <v>11</v>
      </c>
      <c r="L376" s="250">
        <f t="shared" si="39"/>
        <v>3</v>
      </c>
      <c r="M376" s="250">
        <f t="shared" si="40"/>
        <v>1</v>
      </c>
      <c r="N376" s="251">
        <f>4*J376*'[3]Base Costs'!$B$7</f>
        <v>17032.556977800123</v>
      </c>
      <c r="O376" s="252">
        <f>4*IF(K376&lt;=3,K376*'[3]Base Costs'!$B$8,IF(L376&lt;=3,L376*'[3]Base Costs'!$B$9,'[3]Base Costs'!$B$10*M376))</f>
        <v>4200</v>
      </c>
      <c r="P376" s="252">
        <f>4*C376*'[3]Base Costs'!$B$11</f>
        <v>67481.092195206846</v>
      </c>
      <c r="Q376">
        <f>'[3]Base Costs'!$B$13+'[3]Base Costs'!$B$14</f>
        <v>414</v>
      </c>
      <c r="R376" s="239">
        <f>'[3]Base Costs'!$D$2</f>
        <v>1105.3024868650327</v>
      </c>
      <c r="S376" s="254">
        <f t="shared" si="41"/>
        <v>22751.859464665155</v>
      </c>
    </row>
    <row r="377" spans="1:19" x14ac:dyDescent="0.25">
      <c r="A377" s="248" t="s">
        <v>1004</v>
      </c>
      <c r="B377" s="248" t="s">
        <v>1006</v>
      </c>
      <c r="C377" s="249">
        <v>74.837641476332294</v>
      </c>
      <c r="D377" s="250">
        <f>C377*'[3]Base Costs'!$B$5</f>
        <v>74.837641476332294</v>
      </c>
      <c r="E377" s="250">
        <f t="shared" si="35"/>
        <v>10</v>
      </c>
      <c r="F377" s="250">
        <f t="shared" si="36"/>
        <v>2</v>
      </c>
      <c r="G377" s="250">
        <f t="shared" si="37"/>
        <v>1</v>
      </c>
      <c r="H377" s="251">
        <f>4*D377*'[3]Base Costs'!$B$7</f>
        <v>14873.532217572187</v>
      </c>
      <c r="I377" s="252">
        <f>4*IF(E377&lt;=3,E377*'[3]Base Costs'!$B$8,IF(F377&lt;=3,F377*'[3]Base Costs'!$B$9,'[3]Base Costs'!$B$10*G377))</f>
        <v>2800</v>
      </c>
      <c r="J377" s="253">
        <f>C377*'[3]Base Costs'!$B$6</f>
        <v>19.008760934988402</v>
      </c>
      <c r="K377" s="250">
        <f t="shared" si="38"/>
        <v>3</v>
      </c>
      <c r="L377" s="250">
        <f t="shared" si="39"/>
        <v>1</v>
      </c>
      <c r="M377" s="250">
        <f t="shared" si="40"/>
        <v>1</v>
      </c>
      <c r="N377" s="251">
        <f>4*J377*'[3]Base Costs'!$B$7</f>
        <v>3777.8771832633356</v>
      </c>
      <c r="O377" s="252">
        <f>4*IF(K377&lt;=3,K377*'[3]Base Costs'!$B$8,IF(L377&lt;=3,L377*'[3]Base Costs'!$B$9,'[3]Base Costs'!$B$10*M377))</f>
        <v>1500</v>
      </c>
      <c r="P377" s="252">
        <f>4*C377*'[3]Base Costs'!$B$11</f>
        <v>14967.528295266458</v>
      </c>
      <c r="Q377">
        <f>'[3]Base Costs'!$B$13+'[3]Base Costs'!$B$14</f>
        <v>414</v>
      </c>
      <c r="R377" s="239">
        <f>'[3]Base Costs'!$D$2</f>
        <v>1105.3024868650327</v>
      </c>
      <c r="S377" s="254">
        <f t="shared" si="41"/>
        <v>6797.1796701283683</v>
      </c>
    </row>
    <row r="378" spans="1:19" x14ac:dyDescent="0.25">
      <c r="A378" s="248" t="s">
        <v>1004</v>
      </c>
      <c r="B378" s="248" t="s">
        <v>884</v>
      </c>
      <c r="C378" s="249">
        <v>188.55709661684364</v>
      </c>
      <c r="D378" s="250">
        <f>C378*'[3]Base Costs'!$B$5</f>
        <v>188.55709661684364</v>
      </c>
      <c r="E378" s="250">
        <f t="shared" si="35"/>
        <v>24</v>
      </c>
      <c r="F378" s="250">
        <f t="shared" si="36"/>
        <v>5</v>
      </c>
      <c r="G378" s="250">
        <f t="shared" si="37"/>
        <v>2</v>
      </c>
      <c r="H378" s="251">
        <f>4*D378*'[3]Base Costs'!$B$7</f>
        <v>37474.591610017975</v>
      </c>
      <c r="I378" s="252">
        <f>4*IF(E378&lt;=3,E378*'[3]Base Costs'!$B$8,IF(F378&lt;=3,F378*'[3]Base Costs'!$B$9,'[3]Base Costs'!$B$10*G378))</f>
        <v>8800</v>
      </c>
      <c r="J378" s="253">
        <f>C378*'[3]Base Costs'!$B$6</f>
        <v>47.893502540678284</v>
      </c>
      <c r="K378" s="250">
        <f t="shared" si="38"/>
        <v>6</v>
      </c>
      <c r="L378" s="250">
        <f t="shared" si="39"/>
        <v>2</v>
      </c>
      <c r="M378" s="250">
        <f t="shared" si="40"/>
        <v>1</v>
      </c>
      <c r="N378" s="251">
        <f>4*J378*'[3]Base Costs'!$B$7</f>
        <v>9518.5462689445667</v>
      </c>
      <c r="O378" s="252">
        <f>4*IF(K378&lt;=3,K378*'[3]Base Costs'!$B$8,IF(L378&lt;=3,L378*'[3]Base Costs'!$B$9,'[3]Base Costs'!$B$10*M378))</f>
        <v>2800</v>
      </c>
      <c r="P378" s="252">
        <f>4*C378*'[3]Base Costs'!$B$11</f>
        <v>37711.419323368726</v>
      </c>
      <c r="Q378">
        <f>'[3]Base Costs'!$B$13+'[3]Base Costs'!$B$14</f>
        <v>414</v>
      </c>
      <c r="R378" s="239">
        <f>'[3]Base Costs'!$D$2</f>
        <v>1105.3024868650327</v>
      </c>
      <c r="S378" s="254">
        <f t="shared" si="41"/>
        <v>13837.848755809599</v>
      </c>
    </row>
    <row r="379" spans="1:19" x14ac:dyDescent="0.25">
      <c r="A379" s="248" t="s">
        <v>1004</v>
      </c>
      <c r="B379" s="248" t="s">
        <v>885</v>
      </c>
      <c r="C379" s="249">
        <v>195.660479276713</v>
      </c>
      <c r="D379" s="250">
        <f>C379*'[3]Base Costs'!$B$5</f>
        <v>195.660479276713</v>
      </c>
      <c r="E379" s="250">
        <f t="shared" si="35"/>
        <v>25</v>
      </c>
      <c r="F379" s="250">
        <f t="shared" si="36"/>
        <v>5</v>
      </c>
      <c r="G379" s="250">
        <f t="shared" si="37"/>
        <v>2</v>
      </c>
      <c r="H379" s="251">
        <f>4*D379*'[3]Base Costs'!$B$7</f>
        <v>38886.346293371054</v>
      </c>
      <c r="I379" s="252">
        <f>4*IF(E379&lt;=3,E379*'[3]Base Costs'!$B$8,IF(F379&lt;=3,F379*'[3]Base Costs'!$B$9,'[3]Base Costs'!$B$10*G379))</f>
        <v>8800</v>
      </c>
      <c r="J379" s="253">
        <f>C379*'[3]Base Costs'!$B$6</f>
        <v>49.697761736285102</v>
      </c>
      <c r="K379" s="250">
        <f t="shared" si="38"/>
        <v>7</v>
      </c>
      <c r="L379" s="250">
        <f t="shared" si="39"/>
        <v>2</v>
      </c>
      <c r="M379" s="250">
        <f t="shared" si="40"/>
        <v>1</v>
      </c>
      <c r="N379" s="251">
        <f>4*J379*'[3]Base Costs'!$B$7</f>
        <v>9877.1319585162473</v>
      </c>
      <c r="O379" s="252">
        <f>4*IF(K379&lt;=3,K379*'[3]Base Costs'!$B$8,IF(L379&lt;=3,L379*'[3]Base Costs'!$B$9,'[3]Base Costs'!$B$10*M379))</f>
        <v>2800</v>
      </c>
      <c r="P379" s="252">
        <f>4*C379*'[3]Base Costs'!$B$11</f>
        <v>39132.095855342603</v>
      </c>
      <c r="Q379">
        <f>'[3]Base Costs'!$B$13+'[3]Base Costs'!$B$14</f>
        <v>414</v>
      </c>
      <c r="R379" s="239">
        <f>'[3]Base Costs'!$D$2</f>
        <v>1105.3024868650327</v>
      </c>
      <c r="S379" s="254">
        <f t="shared" si="41"/>
        <v>14196.434445381281</v>
      </c>
    </row>
    <row r="380" spans="1:19" x14ac:dyDescent="0.25">
      <c r="A380" s="248" t="s">
        <v>1004</v>
      </c>
      <c r="B380" s="248" t="s">
        <v>886</v>
      </c>
      <c r="C380" s="249">
        <v>103.86332665481439</v>
      </c>
      <c r="D380" s="250">
        <f>C380*'[3]Base Costs'!$B$5</f>
        <v>103.86332665481439</v>
      </c>
      <c r="E380" s="250">
        <f t="shared" si="35"/>
        <v>13</v>
      </c>
      <c r="F380" s="250">
        <f t="shared" si="36"/>
        <v>3</v>
      </c>
      <c r="G380" s="250">
        <f t="shared" si="37"/>
        <v>1</v>
      </c>
      <c r="H380" s="251">
        <f>4*D380*'[3]Base Costs'!$B$7</f>
        <v>20642.212992684432</v>
      </c>
      <c r="I380" s="252">
        <f>4*IF(E380&lt;=3,E380*'[3]Base Costs'!$B$8,IF(F380&lt;=3,F380*'[3]Base Costs'!$B$9,'[3]Base Costs'!$B$10*G380))</f>
        <v>4200</v>
      </c>
      <c r="J380" s="253">
        <f>C380*'[3]Base Costs'!$B$6</f>
        <v>26.381284970322856</v>
      </c>
      <c r="K380" s="250">
        <f t="shared" si="38"/>
        <v>4</v>
      </c>
      <c r="L380" s="250">
        <f t="shared" si="39"/>
        <v>1</v>
      </c>
      <c r="M380" s="250">
        <f t="shared" si="40"/>
        <v>1</v>
      </c>
      <c r="N380" s="251">
        <f>4*J380*'[3]Base Costs'!$B$7</f>
        <v>5243.1221001418462</v>
      </c>
      <c r="O380" s="252">
        <f>4*IF(K380&lt;=3,K380*'[3]Base Costs'!$B$8,IF(L380&lt;=3,L380*'[3]Base Costs'!$B$9,'[3]Base Costs'!$B$10*M380))</f>
        <v>1400</v>
      </c>
      <c r="P380" s="252">
        <f>4*C380*'[3]Base Costs'!$B$11</f>
        <v>20772.665330962878</v>
      </c>
      <c r="Q380">
        <f>'[3]Base Costs'!$B$13+'[3]Base Costs'!$B$14</f>
        <v>414</v>
      </c>
      <c r="R380" s="239">
        <f>'[3]Base Costs'!$D$2</f>
        <v>1105.3024868650327</v>
      </c>
      <c r="S380" s="254">
        <f t="shared" si="41"/>
        <v>8162.4245870068789</v>
      </c>
    </row>
    <row r="381" spans="1:19" x14ac:dyDescent="0.25">
      <c r="A381" s="248" t="s">
        <v>1004</v>
      </c>
      <c r="B381" s="248" t="s">
        <v>887</v>
      </c>
      <c r="C381" s="249">
        <v>140.69015150153439</v>
      </c>
      <c r="D381" s="250">
        <f>C381*'[3]Base Costs'!$B$5</f>
        <v>140.69015150153439</v>
      </c>
      <c r="E381" s="250">
        <f t="shared" si="35"/>
        <v>18</v>
      </c>
      <c r="F381" s="250">
        <f t="shared" si="36"/>
        <v>4</v>
      </c>
      <c r="G381" s="250">
        <f t="shared" si="37"/>
        <v>1</v>
      </c>
      <c r="H381" s="251">
        <f>4*D381*'[3]Base Costs'!$B$7</f>
        <v>27961.323470020954</v>
      </c>
      <c r="I381" s="252">
        <f>4*IF(E381&lt;=3,E381*'[3]Base Costs'!$B$8,IF(F381&lt;=3,F381*'[3]Base Costs'!$B$9,'[3]Base Costs'!$B$10*G381))</f>
        <v>4400</v>
      </c>
      <c r="J381" s="253">
        <f>C381*'[3]Base Costs'!$B$6</f>
        <v>35.735298481389734</v>
      </c>
      <c r="K381" s="250">
        <f t="shared" si="38"/>
        <v>5</v>
      </c>
      <c r="L381" s="250">
        <f t="shared" si="39"/>
        <v>1</v>
      </c>
      <c r="M381" s="250">
        <f t="shared" si="40"/>
        <v>1</v>
      </c>
      <c r="N381" s="251">
        <f>4*J381*'[3]Base Costs'!$B$7</f>
        <v>7102.1761613853223</v>
      </c>
      <c r="O381" s="252">
        <f>4*IF(K381&lt;=3,K381*'[3]Base Costs'!$B$8,IF(L381&lt;=3,L381*'[3]Base Costs'!$B$9,'[3]Base Costs'!$B$10*M381))</f>
        <v>1400</v>
      </c>
      <c r="P381" s="252">
        <f>4*C381*'[3]Base Costs'!$B$11</f>
        <v>28138.030300306877</v>
      </c>
      <c r="Q381">
        <f>'[3]Base Costs'!$B$13+'[3]Base Costs'!$B$14</f>
        <v>414</v>
      </c>
      <c r="R381" s="239">
        <f>'[3]Base Costs'!$D$2</f>
        <v>1105.3024868650327</v>
      </c>
      <c r="S381" s="254">
        <f t="shared" si="41"/>
        <v>10021.478648250355</v>
      </c>
    </row>
    <row r="382" spans="1:19" x14ac:dyDescent="0.25">
      <c r="A382" s="248" t="s">
        <v>1004</v>
      </c>
      <c r="B382" s="248" t="s">
        <v>888</v>
      </c>
      <c r="C382" s="249">
        <v>118.99983748000001</v>
      </c>
      <c r="D382" s="250">
        <f>C382*'[3]Base Costs'!$B$5</f>
        <v>118.99983748000001</v>
      </c>
      <c r="E382" s="250">
        <f t="shared" si="35"/>
        <v>15</v>
      </c>
      <c r="F382" s="250">
        <f t="shared" si="36"/>
        <v>3</v>
      </c>
      <c r="G382" s="250">
        <f t="shared" si="37"/>
        <v>1</v>
      </c>
      <c r="H382" s="251">
        <f>4*D382*'[3]Base Costs'!$B$7</f>
        <v>23650.503700125126</v>
      </c>
      <c r="I382" s="252">
        <f>4*IF(E382&lt;=3,E382*'[3]Base Costs'!$B$8,IF(F382&lt;=3,F382*'[3]Base Costs'!$B$9,'[3]Base Costs'!$B$10*G382))</f>
        <v>4200</v>
      </c>
      <c r="J382" s="253">
        <f>C382*'[3]Base Costs'!$B$6</f>
        <v>30.225958719920005</v>
      </c>
      <c r="K382" s="250">
        <f t="shared" si="38"/>
        <v>4</v>
      </c>
      <c r="L382" s="250">
        <f t="shared" si="39"/>
        <v>1</v>
      </c>
      <c r="M382" s="250">
        <f t="shared" si="40"/>
        <v>1</v>
      </c>
      <c r="N382" s="251">
        <f>4*J382*'[3]Base Costs'!$B$7</f>
        <v>6007.2279398317824</v>
      </c>
      <c r="O382" s="252">
        <f>4*IF(K382&lt;=3,K382*'[3]Base Costs'!$B$8,IF(L382&lt;=3,L382*'[3]Base Costs'!$B$9,'[3]Base Costs'!$B$10*M382))</f>
        <v>1400</v>
      </c>
      <c r="P382" s="252">
        <f>4*C382*'[3]Base Costs'!$B$11</f>
        <v>23799.967496000001</v>
      </c>
      <c r="Q382">
        <f>'[3]Base Costs'!$B$13+'[3]Base Costs'!$B$14</f>
        <v>414</v>
      </c>
      <c r="R382" s="239">
        <f>'[3]Base Costs'!$D$2</f>
        <v>1105.3024868650327</v>
      </c>
      <c r="S382" s="254">
        <f t="shared" si="41"/>
        <v>8926.530426696816</v>
      </c>
    </row>
    <row r="383" spans="1:19" x14ac:dyDescent="0.25">
      <c r="A383" s="248" t="s">
        <v>1004</v>
      </c>
      <c r="B383" s="248" t="s">
        <v>889</v>
      </c>
      <c r="C383" s="249">
        <v>157.26655432876356</v>
      </c>
      <c r="D383" s="250">
        <f>C383*'[3]Base Costs'!$B$5</f>
        <v>157.26655432876356</v>
      </c>
      <c r="E383" s="250">
        <f t="shared" si="35"/>
        <v>20</v>
      </c>
      <c r="F383" s="250">
        <f t="shared" si="36"/>
        <v>4</v>
      </c>
      <c r="G383" s="250">
        <f t="shared" si="37"/>
        <v>1</v>
      </c>
      <c r="H383" s="251">
        <f>4*D383*'[3]Base Costs'!$B$7</f>
        <v>31255.784073515788</v>
      </c>
      <c r="I383" s="252">
        <f>4*IF(E383&lt;=3,E383*'[3]Base Costs'!$B$8,IF(F383&lt;=3,F383*'[3]Base Costs'!$B$9,'[3]Base Costs'!$B$10*G383))</f>
        <v>4400</v>
      </c>
      <c r="J383" s="253">
        <f>C383*'[3]Base Costs'!$B$6</f>
        <v>39.945704799505947</v>
      </c>
      <c r="K383" s="250">
        <f t="shared" si="38"/>
        <v>5</v>
      </c>
      <c r="L383" s="250">
        <f t="shared" si="39"/>
        <v>1</v>
      </c>
      <c r="M383" s="250">
        <f t="shared" si="40"/>
        <v>1</v>
      </c>
      <c r="N383" s="251">
        <f>4*J383*'[3]Base Costs'!$B$7</f>
        <v>7938.969154673011</v>
      </c>
      <c r="O383" s="252">
        <f>4*IF(K383&lt;=3,K383*'[3]Base Costs'!$B$8,IF(L383&lt;=3,L383*'[3]Base Costs'!$B$9,'[3]Base Costs'!$B$10*M383))</f>
        <v>1400</v>
      </c>
      <c r="P383" s="252">
        <f>4*C383*'[3]Base Costs'!$B$11</f>
        <v>31453.310865752712</v>
      </c>
      <c r="Q383">
        <f>'[3]Base Costs'!$B$13+'[3]Base Costs'!$B$14</f>
        <v>414</v>
      </c>
      <c r="R383" s="239">
        <f>'[3]Base Costs'!$D$2</f>
        <v>1105.3024868650327</v>
      </c>
      <c r="S383" s="254">
        <f t="shared" si="41"/>
        <v>10858.271641538044</v>
      </c>
    </row>
    <row r="384" spans="1:19" x14ac:dyDescent="0.25">
      <c r="A384" s="248" t="s">
        <v>1004</v>
      </c>
      <c r="B384" s="248" t="s">
        <v>890</v>
      </c>
      <c r="C384" s="249">
        <v>322.27632811570192</v>
      </c>
      <c r="D384" s="250">
        <f>C384*'[3]Base Costs'!$B$5</f>
        <v>322.27632811570192</v>
      </c>
      <c r="E384" s="250">
        <f t="shared" si="35"/>
        <v>41</v>
      </c>
      <c r="F384" s="250">
        <f t="shared" si="36"/>
        <v>9</v>
      </c>
      <c r="G384" s="250">
        <f t="shared" si="37"/>
        <v>3</v>
      </c>
      <c r="H384" s="251">
        <f>4*D384*'[3]Base Costs'!$B$7</f>
        <v>64050.48655502707</v>
      </c>
      <c r="I384" s="252">
        <f>4*IF(E384&lt;=3,E384*'[3]Base Costs'!$B$8,IF(F384&lt;=3,F384*'[3]Base Costs'!$B$9,'[3]Base Costs'!$B$10*G384))</f>
        <v>13200</v>
      </c>
      <c r="J384" s="253">
        <f>C384*'[3]Base Costs'!$B$6</f>
        <v>81.858187341388287</v>
      </c>
      <c r="K384" s="250">
        <f t="shared" si="38"/>
        <v>11</v>
      </c>
      <c r="L384" s="250">
        <f t="shared" si="39"/>
        <v>3</v>
      </c>
      <c r="M384" s="250">
        <f t="shared" si="40"/>
        <v>1</v>
      </c>
      <c r="N384" s="251">
        <f>4*J384*'[3]Base Costs'!$B$7</f>
        <v>16268.823584976875</v>
      </c>
      <c r="O384" s="252">
        <f>4*IF(K384&lt;=3,K384*'[3]Base Costs'!$B$8,IF(L384&lt;=3,L384*'[3]Base Costs'!$B$9,'[3]Base Costs'!$B$10*M384))</f>
        <v>4200</v>
      </c>
      <c r="P384" s="252">
        <f>4*C384*'[3]Base Costs'!$B$11</f>
        <v>64455.265623140382</v>
      </c>
      <c r="Q384">
        <f>'[3]Base Costs'!$B$13+'[3]Base Costs'!$B$14</f>
        <v>414</v>
      </c>
      <c r="R384" s="239">
        <f>'[3]Base Costs'!$D$2</f>
        <v>1105.3024868650327</v>
      </c>
      <c r="S384" s="254">
        <f t="shared" si="41"/>
        <v>21988.126071841907</v>
      </c>
    </row>
    <row r="385" spans="1:19" x14ac:dyDescent="0.25">
      <c r="A385" s="248" t="s">
        <v>1004</v>
      </c>
      <c r="B385" s="248" t="s">
        <v>891</v>
      </c>
      <c r="C385" s="249">
        <v>304.42153626976796</v>
      </c>
      <c r="D385" s="250">
        <f>C385*'[3]Base Costs'!$B$5</f>
        <v>304.42153626976796</v>
      </c>
      <c r="E385" s="250">
        <f t="shared" si="35"/>
        <v>39</v>
      </c>
      <c r="F385" s="250">
        <f t="shared" si="36"/>
        <v>8</v>
      </c>
      <c r="G385" s="250">
        <f t="shared" si="37"/>
        <v>2</v>
      </c>
      <c r="H385" s="251">
        <f>4*D385*'[3]Base Costs'!$B$7</f>
        <v>60501.95380439877</v>
      </c>
      <c r="I385" s="252">
        <f>4*IF(E385&lt;=3,E385*'[3]Base Costs'!$B$8,IF(F385&lt;=3,F385*'[3]Base Costs'!$B$9,'[3]Base Costs'!$B$10*G385))</f>
        <v>8800</v>
      </c>
      <c r="J385" s="253">
        <f>C385*'[3]Base Costs'!$B$6</f>
        <v>77.32307021252106</v>
      </c>
      <c r="K385" s="250">
        <f t="shared" si="38"/>
        <v>10</v>
      </c>
      <c r="L385" s="250">
        <f t="shared" si="39"/>
        <v>2</v>
      </c>
      <c r="M385" s="250">
        <f t="shared" si="40"/>
        <v>1</v>
      </c>
      <c r="N385" s="251">
        <f>4*J385*'[3]Base Costs'!$B$7</f>
        <v>15367.496266317288</v>
      </c>
      <c r="O385" s="252">
        <f>4*IF(K385&lt;=3,K385*'[3]Base Costs'!$B$8,IF(L385&lt;=3,L385*'[3]Base Costs'!$B$9,'[3]Base Costs'!$B$10*M385))</f>
        <v>2800</v>
      </c>
      <c r="P385" s="252">
        <f>4*C385*'[3]Base Costs'!$B$11</f>
        <v>60884.307253953593</v>
      </c>
      <c r="Q385">
        <f>'[3]Base Costs'!$B$13+'[3]Base Costs'!$B$14</f>
        <v>414</v>
      </c>
      <c r="R385" s="239">
        <f>'[3]Base Costs'!$D$2</f>
        <v>1105.3024868650327</v>
      </c>
      <c r="S385" s="254">
        <f t="shared" si="41"/>
        <v>19686.79875318232</v>
      </c>
    </row>
    <row r="386" spans="1:19" x14ac:dyDescent="0.25">
      <c r="A386" s="248" t="s">
        <v>1004</v>
      </c>
      <c r="B386" s="248" t="s">
        <v>892</v>
      </c>
      <c r="C386" s="249">
        <v>113.16338214717844</v>
      </c>
      <c r="D386" s="250">
        <f>C386*'[3]Base Costs'!$B$5</f>
        <v>113.16338214717844</v>
      </c>
      <c r="E386" s="250">
        <f t="shared" si="35"/>
        <v>15</v>
      </c>
      <c r="F386" s="250">
        <f t="shared" si="36"/>
        <v>3</v>
      </c>
      <c r="G386" s="250">
        <f t="shared" si="37"/>
        <v>1</v>
      </c>
      <c r="H386" s="251">
        <f>4*D386*'[3]Base Costs'!$B$7</f>
        <v>22490.543221458836</v>
      </c>
      <c r="I386" s="252">
        <f>4*IF(E386&lt;=3,E386*'[3]Base Costs'!$B$8,IF(F386&lt;=3,F386*'[3]Base Costs'!$B$9,'[3]Base Costs'!$B$10*G386))</f>
        <v>4200</v>
      </c>
      <c r="J386" s="253">
        <f>C386*'[3]Base Costs'!$B$6</f>
        <v>28.743499065383325</v>
      </c>
      <c r="K386" s="250">
        <f t="shared" si="38"/>
        <v>4</v>
      </c>
      <c r="L386" s="250">
        <f t="shared" si="39"/>
        <v>1</v>
      </c>
      <c r="M386" s="250">
        <f t="shared" si="40"/>
        <v>1</v>
      </c>
      <c r="N386" s="251">
        <f>4*J386*'[3]Base Costs'!$B$7</f>
        <v>5712.5979782505447</v>
      </c>
      <c r="O386" s="252">
        <f>4*IF(K386&lt;=3,K386*'[3]Base Costs'!$B$8,IF(L386&lt;=3,L386*'[3]Base Costs'!$B$9,'[3]Base Costs'!$B$10*M386))</f>
        <v>1400</v>
      </c>
      <c r="P386" s="252">
        <f>4*C386*'[3]Base Costs'!$B$11</f>
        <v>22632.676429435687</v>
      </c>
      <c r="Q386">
        <f>'[3]Base Costs'!$B$13+'[3]Base Costs'!$B$14</f>
        <v>414</v>
      </c>
      <c r="R386" s="239">
        <f>'[3]Base Costs'!$D$2</f>
        <v>1105.3024868650327</v>
      </c>
      <c r="S386" s="254">
        <f t="shared" si="41"/>
        <v>8631.9004651155774</v>
      </c>
    </row>
    <row r="387" spans="1:19" x14ac:dyDescent="0.25">
      <c r="A387" s="248" t="s">
        <v>1004</v>
      </c>
      <c r="B387" s="248" t="s">
        <v>893</v>
      </c>
      <c r="C387" s="249">
        <v>76.934951075436913</v>
      </c>
      <c r="D387" s="250">
        <f>C387*'[3]Base Costs'!$B$5</f>
        <v>76.934951075436913</v>
      </c>
      <c r="E387" s="250">
        <f t="shared" si="35"/>
        <v>10</v>
      </c>
      <c r="F387" s="250">
        <f t="shared" si="36"/>
        <v>2</v>
      </c>
      <c r="G387" s="250">
        <f t="shared" si="37"/>
        <v>1</v>
      </c>
      <c r="H387" s="251">
        <f>4*D387*'[3]Base Costs'!$B$7</f>
        <v>15290.359916536636</v>
      </c>
      <c r="I387" s="252">
        <f>4*IF(E387&lt;=3,E387*'[3]Base Costs'!$B$8,IF(F387&lt;=3,F387*'[3]Base Costs'!$B$9,'[3]Base Costs'!$B$10*G387))</f>
        <v>2800</v>
      </c>
      <c r="J387" s="253">
        <f>C387*'[3]Base Costs'!$B$6</f>
        <v>19.541477573160975</v>
      </c>
      <c r="K387" s="250">
        <f t="shared" si="38"/>
        <v>3</v>
      </c>
      <c r="L387" s="250">
        <f t="shared" si="39"/>
        <v>1</v>
      </c>
      <c r="M387" s="250">
        <f t="shared" si="40"/>
        <v>1</v>
      </c>
      <c r="N387" s="251">
        <f>4*J387*'[3]Base Costs'!$B$7</f>
        <v>3883.7514188003056</v>
      </c>
      <c r="O387" s="252">
        <f>4*IF(K387&lt;=3,K387*'[3]Base Costs'!$B$8,IF(L387&lt;=3,L387*'[3]Base Costs'!$B$9,'[3]Base Costs'!$B$10*M387))</f>
        <v>1500</v>
      </c>
      <c r="P387" s="252">
        <f>4*C387*'[3]Base Costs'!$B$11</f>
        <v>15386.990215087382</v>
      </c>
      <c r="Q387">
        <f>'[3]Base Costs'!$B$13+'[3]Base Costs'!$B$14</f>
        <v>414</v>
      </c>
      <c r="R387" s="239">
        <f>'[3]Base Costs'!$D$2</f>
        <v>1105.3024868650327</v>
      </c>
      <c r="S387" s="254">
        <f t="shared" si="41"/>
        <v>6903.0539056653379</v>
      </c>
    </row>
    <row r="388" spans="1:19" x14ac:dyDescent="0.25">
      <c r="A388" s="248" t="s">
        <v>1004</v>
      </c>
      <c r="B388" s="248" t="s">
        <v>894</v>
      </c>
      <c r="C388" s="249">
        <v>90.016658421579308</v>
      </c>
      <c r="D388" s="250">
        <f>C388*'[3]Base Costs'!$B$5</f>
        <v>90.016658421579308</v>
      </c>
      <c r="E388" s="250">
        <f t="shared" ref="E388:E451" si="42">ROUNDUP(D388/8,0)</f>
        <v>12</v>
      </c>
      <c r="F388" s="250">
        <f t="shared" ref="F388:F451" si="43">ROUNDUP(D388/40,0)</f>
        <v>3</v>
      </c>
      <c r="G388" s="250">
        <f t="shared" ref="G388:G451" si="44">ROUNDUP(D388/(40*4),0)</f>
        <v>1</v>
      </c>
      <c r="H388" s="251">
        <f>4*D388*'[3]Base Costs'!$B$7</f>
        <v>17890.270761338361</v>
      </c>
      <c r="I388" s="252">
        <f>4*IF(E388&lt;=3,E388*'[3]Base Costs'!$B$8,IF(F388&lt;=3,F388*'[3]Base Costs'!$B$9,'[3]Base Costs'!$B$10*G388))</f>
        <v>4200</v>
      </c>
      <c r="J388" s="253">
        <f>C388*'[3]Base Costs'!$B$6</f>
        <v>22.864231239081146</v>
      </c>
      <c r="K388" s="250">
        <f t="shared" ref="K388:K451" si="45">ROUNDUP(J388/8,0)</f>
        <v>3</v>
      </c>
      <c r="L388" s="250">
        <f t="shared" ref="L388:L451" si="46">ROUNDUP(J388/40,0)</f>
        <v>1</v>
      </c>
      <c r="M388" s="250">
        <f t="shared" ref="M388:M451" si="47">ROUNDUP(J388/(40*4),0)</f>
        <v>1</v>
      </c>
      <c r="N388" s="251">
        <f>4*J388*'[3]Base Costs'!$B$7</f>
        <v>4544.1287733799436</v>
      </c>
      <c r="O388" s="252">
        <f>4*IF(K388&lt;=3,K388*'[3]Base Costs'!$B$8,IF(L388&lt;=3,L388*'[3]Base Costs'!$B$9,'[3]Base Costs'!$B$10*M388))</f>
        <v>1500</v>
      </c>
      <c r="P388" s="252">
        <f>4*C388*'[3]Base Costs'!$B$11</f>
        <v>18003.331684315861</v>
      </c>
      <c r="Q388">
        <f>'[3]Base Costs'!$B$13+'[3]Base Costs'!$B$14</f>
        <v>414</v>
      </c>
      <c r="R388" s="239">
        <f>'[3]Base Costs'!$D$2</f>
        <v>1105.3024868650327</v>
      </c>
      <c r="S388" s="254">
        <f t="shared" ref="S388:S451" si="48">R388+Q388+N388+O388</f>
        <v>7563.4312602449763</v>
      </c>
    </row>
    <row r="389" spans="1:19" x14ac:dyDescent="0.25">
      <c r="A389" s="248" t="s">
        <v>1004</v>
      </c>
      <c r="B389" s="248" t="s">
        <v>895</v>
      </c>
      <c r="C389" s="249">
        <v>210.43355266449706</v>
      </c>
      <c r="D389" s="250">
        <f>C389*'[3]Base Costs'!$B$5</f>
        <v>210.43355266449706</v>
      </c>
      <c r="E389" s="250">
        <f t="shared" si="42"/>
        <v>27</v>
      </c>
      <c r="F389" s="250">
        <f t="shared" si="43"/>
        <v>6</v>
      </c>
      <c r="G389" s="250">
        <f t="shared" si="44"/>
        <v>2</v>
      </c>
      <c r="H389" s="251">
        <f>4*D389*'[3]Base Costs'!$B$7</f>
        <v>41822.405990752806</v>
      </c>
      <c r="I389" s="252">
        <f>4*IF(E389&lt;=3,E389*'[3]Base Costs'!$B$8,IF(F389&lt;=3,F389*'[3]Base Costs'!$B$9,'[3]Base Costs'!$B$10*G389))</f>
        <v>8800</v>
      </c>
      <c r="J389" s="253">
        <f>C389*'[3]Base Costs'!$B$6</f>
        <v>53.450122376782254</v>
      </c>
      <c r="K389" s="250">
        <f t="shared" si="45"/>
        <v>7</v>
      </c>
      <c r="L389" s="250">
        <f t="shared" si="46"/>
        <v>2</v>
      </c>
      <c r="M389" s="250">
        <f t="shared" si="47"/>
        <v>1</v>
      </c>
      <c r="N389" s="251">
        <f>4*J389*'[3]Base Costs'!$B$7</f>
        <v>10622.891121651213</v>
      </c>
      <c r="O389" s="252">
        <f>4*IF(K389&lt;=3,K389*'[3]Base Costs'!$B$8,IF(L389&lt;=3,L389*'[3]Base Costs'!$B$9,'[3]Base Costs'!$B$10*M389))</f>
        <v>2800</v>
      </c>
      <c r="P389" s="252">
        <f>4*C389*'[3]Base Costs'!$B$11</f>
        <v>42086.710532899415</v>
      </c>
      <c r="Q389">
        <f>'[3]Base Costs'!$B$13+'[3]Base Costs'!$B$14</f>
        <v>414</v>
      </c>
      <c r="R389" s="239">
        <f>'[3]Base Costs'!$D$2</f>
        <v>1105.3024868650327</v>
      </c>
      <c r="S389" s="254">
        <f t="shared" si="48"/>
        <v>14942.193608516245</v>
      </c>
    </row>
    <row r="390" spans="1:19" x14ac:dyDescent="0.25">
      <c r="A390" s="248" t="s">
        <v>1004</v>
      </c>
      <c r="B390" s="248" t="s">
        <v>896</v>
      </c>
      <c r="C390" s="249">
        <v>76.84829452797004</v>
      </c>
      <c r="D390" s="250">
        <f>C390*'[3]Base Costs'!$B$5</f>
        <v>76.84829452797004</v>
      </c>
      <c r="E390" s="250">
        <f t="shared" si="42"/>
        <v>10</v>
      </c>
      <c r="F390" s="250">
        <f t="shared" si="43"/>
        <v>2</v>
      </c>
      <c r="G390" s="250">
        <f t="shared" si="44"/>
        <v>1</v>
      </c>
      <c r="H390" s="251">
        <f>4*D390*'[3]Base Costs'!$B$7</f>
        <v>15273.137447666881</v>
      </c>
      <c r="I390" s="252">
        <f>4*IF(E390&lt;=3,E390*'[3]Base Costs'!$B$8,IF(F390&lt;=3,F390*'[3]Base Costs'!$B$9,'[3]Base Costs'!$B$10*G390))</f>
        <v>2800</v>
      </c>
      <c r="J390" s="253">
        <f>C390*'[3]Base Costs'!$B$6</f>
        <v>19.51946681010439</v>
      </c>
      <c r="K390" s="250">
        <f t="shared" si="45"/>
        <v>3</v>
      </c>
      <c r="L390" s="250">
        <f t="shared" si="46"/>
        <v>1</v>
      </c>
      <c r="M390" s="250">
        <f t="shared" si="47"/>
        <v>1</v>
      </c>
      <c r="N390" s="251">
        <f>4*J390*'[3]Base Costs'!$B$7</f>
        <v>3879.3769117073875</v>
      </c>
      <c r="O390" s="252">
        <f>4*IF(K390&lt;=3,K390*'[3]Base Costs'!$B$8,IF(L390&lt;=3,L390*'[3]Base Costs'!$B$9,'[3]Base Costs'!$B$10*M390))</f>
        <v>1500</v>
      </c>
      <c r="P390" s="252">
        <f>4*C390*'[3]Base Costs'!$B$11</f>
        <v>15369.658905594008</v>
      </c>
      <c r="Q390">
        <f>'[3]Base Costs'!$B$13+'[3]Base Costs'!$B$14</f>
        <v>414</v>
      </c>
      <c r="R390" s="239">
        <f>'[3]Base Costs'!$D$2</f>
        <v>1105.3024868650327</v>
      </c>
      <c r="S390" s="254">
        <f t="shared" si="48"/>
        <v>6898.6793985724198</v>
      </c>
    </row>
    <row r="391" spans="1:19" x14ac:dyDescent="0.25">
      <c r="A391" s="248" t="s">
        <v>1004</v>
      </c>
      <c r="B391" s="248" t="s">
        <v>897</v>
      </c>
      <c r="C391" s="249">
        <v>221.82226734534515</v>
      </c>
      <c r="D391" s="250">
        <f>C391*'[3]Base Costs'!$B$5</f>
        <v>221.82226734534515</v>
      </c>
      <c r="E391" s="250">
        <f t="shared" si="42"/>
        <v>28</v>
      </c>
      <c r="F391" s="250">
        <f t="shared" si="43"/>
        <v>6</v>
      </c>
      <c r="G391" s="250">
        <f t="shared" si="44"/>
        <v>2</v>
      </c>
      <c r="H391" s="251">
        <f>4*D391*'[3]Base Costs'!$B$7</f>
        <v>44085.844701283284</v>
      </c>
      <c r="I391" s="252">
        <f>4*IF(E391&lt;=3,E391*'[3]Base Costs'!$B$8,IF(F391&lt;=3,F391*'[3]Base Costs'!$B$9,'[3]Base Costs'!$B$10*G391))</f>
        <v>8800</v>
      </c>
      <c r="J391" s="253">
        <f>C391*'[3]Base Costs'!$B$6</f>
        <v>56.34285590571767</v>
      </c>
      <c r="K391" s="250">
        <f t="shared" si="45"/>
        <v>8</v>
      </c>
      <c r="L391" s="250">
        <f t="shared" si="46"/>
        <v>2</v>
      </c>
      <c r="M391" s="250">
        <f t="shared" si="47"/>
        <v>1</v>
      </c>
      <c r="N391" s="251">
        <f>4*J391*'[3]Base Costs'!$B$7</f>
        <v>11197.804554125954</v>
      </c>
      <c r="O391" s="252">
        <f>4*IF(K391&lt;=3,K391*'[3]Base Costs'!$B$8,IF(L391&lt;=3,L391*'[3]Base Costs'!$B$9,'[3]Base Costs'!$B$10*M391))</f>
        <v>2800</v>
      </c>
      <c r="P391" s="252">
        <f>4*C391*'[3]Base Costs'!$B$11</f>
        <v>44364.453469069034</v>
      </c>
      <c r="Q391">
        <f>'[3]Base Costs'!$B$13+'[3]Base Costs'!$B$14</f>
        <v>414</v>
      </c>
      <c r="R391" s="239">
        <f>'[3]Base Costs'!$D$2</f>
        <v>1105.3024868650327</v>
      </c>
      <c r="S391" s="254">
        <f t="shared" si="48"/>
        <v>15517.107040990988</v>
      </c>
    </row>
    <row r="392" spans="1:19" x14ac:dyDescent="0.25">
      <c r="A392" s="248" t="s">
        <v>1004</v>
      </c>
      <c r="B392" s="248" t="s">
        <v>898</v>
      </c>
      <c r="C392" s="249">
        <v>325.47624526331674</v>
      </c>
      <c r="D392" s="250">
        <f>C392*'[3]Base Costs'!$B$5</f>
        <v>325.47624526331674</v>
      </c>
      <c r="E392" s="250">
        <f t="shared" si="42"/>
        <v>41</v>
      </c>
      <c r="F392" s="250">
        <f t="shared" si="43"/>
        <v>9</v>
      </c>
      <c r="G392" s="250">
        <f t="shared" si="44"/>
        <v>3</v>
      </c>
      <c r="H392" s="251">
        <f>4*D392*'[3]Base Costs'!$B$7</f>
        <v>64686.450888612635</v>
      </c>
      <c r="I392" s="252">
        <f>4*IF(E392&lt;=3,E392*'[3]Base Costs'!$B$8,IF(F392&lt;=3,F392*'[3]Base Costs'!$B$9,'[3]Base Costs'!$B$10*G392))</f>
        <v>13200</v>
      </c>
      <c r="J392" s="253">
        <f>C392*'[3]Base Costs'!$B$6</f>
        <v>82.670966296882455</v>
      </c>
      <c r="K392" s="250">
        <f t="shared" si="45"/>
        <v>11</v>
      </c>
      <c r="L392" s="250">
        <f t="shared" si="46"/>
        <v>3</v>
      </c>
      <c r="M392" s="250">
        <f t="shared" si="47"/>
        <v>1</v>
      </c>
      <c r="N392" s="251">
        <f>4*J392*'[3]Base Costs'!$B$7</f>
        <v>16430.358525707608</v>
      </c>
      <c r="O392" s="252">
        <f>4*IF(K392&lt;=3,K392*'[3]Base Costs'!$B$8,IF(L392&lt;=3,L392*'[3]Base Costs'!$B$9,'[3]Base Costs'!$B$10*M392))</f>
        <v>4200</v>
      </c>
      <c r="P392" s="252">
        <f>4*C392*'[3]Base Costs'!$B$11</f>
        <v>65095.249052663348</v>
      </c>
      <c r="Q392">
        <f>'[3]Base Costs'!$B$13+'[3]Base Costs'!$B$14</f>
        <v>414</v>
      </c>
      <c r="R392" s="239">
        <f>'[3]Base Costs'!$D$2</f>
        <v>1105.3024868650327</v>
      </c>
      <c r="S392" s="254">
        <f t="shared" si="48"/>
        <v>22149.66101257264</v>
      </c>
    </row>
    <row r="393" spans="1:19" x14ac:dyDescent="0.25">
      <c r="A393" s="248" t="s">
        <v>1004</v>
      </c>
      <c r="B393" s="248" t="s">
        <v>899</v>
      </c>
      <c r="C393" s="249">
        <v>242.11365247335951</v>
      </c>
      <c r="D393" s="250">
        <f>C393*'[3]Base Costs'!$B$5</f>
        <v>242.11365247335951</v>
      </c>
      <c r="E393" s="250">
        <f t="shared" si="42"/>
        <v>31</v>
      </c>
      <c r="F393" s="250">
        <f t="shared" si="43"/>
        <v>7</v>
      </c>
      <c r="G393" s="250">
        <f t="shared" si="44"/>
        <v>2</v>
      </c>
      <c r="H393" s="251">
        <f>4*D393*'[3]Base Costs'!$B$7</f>
        <v>48118.635747165368</v>
      </c>
      <c r="I393" s="252">
        <f>4*IF(E393&lt;=3,E393*'[3]Base Costs'!$B$8,IF(F393&lt;=3,F393*'[3]Base Costs'!$B$9,'[3]Base Costs'!$B$10*G393))</f>
        <v>8800</v>
      </c>
      <c r="J393" s="253">
        <f>C393*'[3]Base Costs'!$B$6</f>
        <v>61.496867728233319</v>
      </c>
      <c r="K393" s="250">
        <f t="shared" si="45"/>
        <v>8</v>
      </c>
      <c r="L393" s="250">
        <f t="shared" si="46"/>
        <v>2</v>
      </c>
      <c r="M393" s="250">
        <f t="shared" si="47"/>
        <v>1</v>
      </c>
      <c r="N393" s="251">
        <f>4*J393*'[3]Base Costs'!$B$7</f>
        <v>12222.133479780005</v>
      </c>
      <c r="O393" s="252">
        <f>4*IF(K393&lt;=3,K393*'[3]Base Costs'!$B$8,IF(L393&lt;=3,L393*'[3]Base Costs'!$B$9,'[3]Base Costs'!$B$10*M393))</f>
        <v>2800</v>
      </c>
      <c r="P393" s="252">
        <f>4*C393*'[3]Base Costs'!$B$11</f>
        <v>48422.730494671901</v>
      </c>
      <c r="Q393">
        <f>'[3]Base Costs'!$B$13+'[3]Base Costs'!$B$14</f>
        <v>414</v>
      </c>
      <c r="R393" s="239">
        <f>'[3]Base Costs'!$D$2</f>
        <v>1105.3024868650327</v>
      </c>
      <c r="S393" s="254">
        <f t="shared" si="48"/>
        <v>16541.435966645036</v>
      </c>
    </row>
    <row r="394" spans="1:19" x14ac:dyDescent="0.25">
      <c r="A394" s="248" t="s">
        <v>1004</v>
      </c>
      <c r="B394" s="248" t="s">
        <v>900</v>
      </c>
      <c r="C394" s="249">
        <v>58.002069254189578</v>
      </c>
      <c r="D394" s="250">
        <f>C394*'[3]Base Costs'!$B$5</f>
        <v>58.002069254189578</v>
      </c>
      <c r="E394" s="250">
        <f t="shared" si="42"/>
        <v>8</v>
      </c>
      <c r="F394" s="250">
        <f t="shared" si="43"/>
        <v>2</v>
      </c>
      <c r="G394" s="250">
        <f t="shared" si="44"/>
        <v>1</v>
      </c>
      <c r="H394" s="251">
        <f>4*D394*'[3]Base Costs'!$B$7</f>
        <v>11527.563251854655</v>
      </c>
      <c r="I394" s="252">
        <f>4*IF(E394&lt;=3,E394*'[3]Base Costs'!$B$8,IF(F394&lt;=3,F394*'[3]Base Costs'!$B$9,'[3]Base Costs'!$B$10*G394))</f>
        <v>2800</v>
      </c>
      <c r="J394" s="253">
        <f>C394*'[3]Base Costs'!$B$6</f>
        <v>14.732525590564153</v>
      </c>
      <c r="K394" s="250">
        <f t="shared" si="45"/>
        <v>2</v>
      </c>
      <c r="L394" s="250">
        <f t="shared" si="46"/>
        <v>1</v>
      </c>
      <c r="M394" s="250">
        <f t="shared" si="47"/>
        <v>1</v>
      </c>
      <c r="N394" s="251">
        <f>4*J394*'[3]Base Costs'!$B$7</f>
        <v>2928.0010659710824</v>
      </c>
      <c r="O394" s="252">
        <f>4*IF(K394&lt;=3,K394*'[3]Base Costs'!$B$8,IF(L394&lt;=3,L394*'[3]Base Costs'!$B$9,'[3]Base Costs'!$B$10*M394))</f>
        <v>1000</v>
      </c>
      <c r="P394" s="252">
        <f>4*C394*'[3]Base Costs'!$B$11</f>
        <v>11600.413850837916</v>
      </c>
      <c r="Q394">
        <f>'[3]Base Costs'!$B$13+'[3]Base Costs'!$B$14</f>
        <v>414</v>
      </c>
      <c r="R394" s="239">
        <f>'[3]Base Costs'!$D$2</f>
        <v>1105.3024868650327</v>
      </c>
      <c r="S394" s="254">
        <f t="shared" si="48"/>
        <v>5447.3035528361152</v>
      </c>
    </row>
    <row r="395" spans="1:19" x14ac:dyDescent="0.25">
      <c r="A395" s="248" t="s">
        <v>1004</v>
      </c>
      <c r="B395" s="248" t="s">
        <v>901</v>
      </c>
      <c r="C395" s="249">
        <v>282.41881699192578</v>
      </c>
      <c r="D395" s="250">
        <f>C395*'[3]Base Costs'!$B$5</f>
        <v>282.41881699192578</v>
      </c>
      <c r="E395" s="250">
        <f t="shared" si="42"/>
        <v>36</v>
      </c>
      <c r="F395" s="250">
        <f t="shared" si="43"/>
        <v>8</v>
      </c>
      <c r="G395" s="250">
        <f t="shared" si="44"/>
        <v>2</v>
      </c>
      <c r="H395" s="251">
        <f>4*D395*'[3]Base Costs'!$B$7</f>
        <v>56129.045364243306</v>
      </c>
      <c r="I395" s="252">
        <f>4*IF(E395&lt;=3,E395*'[3]Base Costs'!$B$8,IF(F395&lt;=3,F395*'[3]Base Costs'!$B$9,'[3]Base Costs'!$B$10*G395))</f>
        <v>8800</v>
      </c>
      <c r="J395" s="253">
        <f>C395*'[3]Base Costs'!$B$6</f>
        <v>71.734379515949144</v>
      </c>
      <c r="K395" s="250">
        <f t="shared" si="45"/>
        <v>9</v>
      </c>
      <c r="L395" s="250">
        <f t="shared" si="46"/>
        <v>2</v>
      </c>
      <c r="M395" s="250">
        <f t="shared" si="47"/>
        <v>1</v>
      </c>
      <c r="N395" s="251">
        <f>4*J395*'[3]Base Costs'!$B$7</f>
        <v>14256.777522517799</v>
      </c>
      <c r="O395" s="252">
        <f>4*IF(K395&lt;=3,K395*'[3]Base Costs'!$B$8,IF(L395&lt;=3,L395*'[3]Base Costs'!$B$9,'[3]Base Costs'!$B$10*M395))</f>
        <v>2800</v>
      </c>
      <c r="P395" s="252">
        <f>4*C395*'[3]Base Costs'!$B$11</f>
        <v>56483.763398385156</v>
      </c>
      <c r="Q395">
        <f>'[3]Base Costs'!$B$13+'[3]Base Costs'!$B$14</f>
        <v>414</v>
      </c>
      <c r="R395" s="239">
        <f>'[3]Base Costs'!$D$2</f>
        <v>1105.3024868650327</v>
      </c>
      <c r="S395" s="254">
        <f t="shared" si="48"/>
        <v>18576.080009382833</v>
      </c>
    </row>
    <row r="396" spans="1:19" x14ac:dyDescent="0.25">
      <c r="A396" s="248" t="s">
        <v>1004</v>
      </c>
      <c r="B396" s="248" t="s">
        <v>902</v>
      </c>
      <c r="C396" s="249">
        <v>113.46003224567677</v>
      </c>
      <c r="D396" s="250">
        <f>C396*'[3]Base Costs'!$B$5</f>
        <v>113.46003224567677</v>
      </c>
      <c r="E396" s="250">
        <f t="shared" si="42"/>
        <v>15</v>
      </c>
      <c r="F396" s="250">
        <f t="shared" si="43"/>
        <v>3</v>
      </c>
      <c r="G396" s="250">
        <f t="shared" si="44"/>
        <v>1</v>
      </c>
      <c r="H396" s="251">
        <f>4*D396*'[3]Base Costs'!$B$7</f>
        <v>22549.500648634788</v>
      </c>
      <c r="I396" s="252">
        <f>4*IF(E396&lt;=3,E396*'[3]Base Costs'!$B$8,IF(F396&lt;=3,F396*'[3]Base Costs'!$B$9,'[3]Base Costs'!$B$10*G396))</f>
        <v>4200</v>
      </c>
      <c r="J396" s="253">
        <f>C396*'[3]Base Costs'!$B$6</f>
        <v>28.818848190401901</v>
      </c>
      <c r="K396" s="250">
        <f t="shared" si="45"/>
        <v>4</v>
      </c>
      <c r="L396" s="250">
        <f t="shared" si="46"/>
        <v>1</v>
      </c>
      <c r="M396" s="250">
        <f t="shared" si="47"/>
        <v>1</v>
      </c>
      <c r="N396" s="251">
        <f>4*J396*'[3]Base Costs'!$B$7</f>
        <v>5727.5731647532366</v>
      </c>
      <c r="O396" s="252">
        <f>4*IF(K396&lt;=3,K396*'[3]Base Costs'!$B$8,IF(L396&lt;=3,L396*'[3]Base Costs'!$B$9,'[3]Base Costs'!$B$10*M396))</f>
        <v>1400</v>
      </c>
      <c r="P396" s="252">
        <f>4*C396*'[3]Base Costs'!$B$11</f>
        <v>22692.006449135355</v>
      </c>
      <c r="Q396">
        <f>'[3]Base Costs'!$B$13+'[3]Base Costs'!$B$14</f>
        <v>414</v>
      </c>
      <c r="R396" s="239">
        <f>'[3]Base Costs'!$D$2</f>
        <v>1105.3024868650327</v>
      </c>
      <c r="S396" s="254">
        <f t="shared" si="48"/>
        <v>8646.8756516182693</v>
      </c>
    </row>
    <row r="397" spans="1:19" x14ac:dyDescent="0.25">
      <c r="A397" s="248" t="s">
        <v>1004</v>
      </c>
      <c r="B397" s="248" t="s">
        <v>903</v>
      </c>
      <c r="C397" s="249">
        <v>317.23465535574741</v>
      </c>
      <c r="D397" s="250">
        <f>C397*'[3]Base Costs'!$B$5</f>
        <v>317.23465535574741</v>
      </c>
      <c r="E397" s="250">
        <f t="shared" si="42"/>
        <v>40</v>
      </c>
      <c r="F397" s="250">
        <f t="shared" si="43"/>
        <v>8</v>
      </c>
      <c r="G397" s="250">
        <f t="shared" si="44"/>
        <v>2</v>
      </c>
      <c r="H397" s="251">
        <f>4*D397*'[3]Base Costs'!$B$7</f>
        <v>63048.484344022669</v>
      </c>
      <c r="I397" s="252">
        <f>4*IF(E397&lt;=3,E397*'[3]Base Costs'!$B$8,IF(F397&lt;=3,F397*'[3]Base Costs'!$B$9,'[3]Base Costs'!$B$10*G397))</f>
        <v>8800</v>
      </c>
      <c r="J397" s="253">
        <f>C397*'[3]Base Costs'!$B$6</f>
        <v>80.577602460359842</v>
      </c>
      <c r="K397" s="250">
        <f t="shared" si="45"/>
        <v>11</v>
      </c>
      <c r="L397" s="250">
        <f t="shared" si="46"/>
        <v>3</v>
      </c>
      <c r="M397" s="250">
        <f t="shared" si="47"/>
        <v>1</v>
      </c>
      <c r="N397" s="251">
        <f>4*J397*'[3]Base Costs'!$B$7</f>
        <v>16014.315023381758</v>
      </c>
      <c r="O397" s="252">
        <f>4*IF(K397&lt;=3,K397*'[3]Base Costs'!$B$8,IF(L397&lt;=3,L397*'[3]Base Costs'!$B$9,'[3]Base Costs'!$B$10*M397))</f>
        <v>4200</v>
      </c>
      <c r="P397" s="252">
        <f>4*C397*'[3]Base Costs'!$B$11</f>
        <v>63446.931071149484</v>
      </c>
      <c r="Q397">
        <f>'[3]Base Costs'!$B$13+'[3]Base Costs'!$B$14</f>
        <v>414</v>
      </c>
      <c r="R397" s="239">
        <f>'[3]Base Costs'!$D$2</f>
        <v>1105.3024868650327</v>
      </c>
      <c r="S397" s="254">
        <f t="shared" si="48"/>
        <v>21733.61751024679</v>
      </c>
    </row>
    <row r="398" spans="1:19" x14ac:dyDescent="0.25">
      <c r="A398" s="248" t="s">
        <v>1004</v>
      </c>
      <c r="B398" s="248" t="s">
        <v>904</v>
      </c>
      <c r="C398" s="249">
        <v>89.039838860000003</v>
      </c>
      <c r="D398" s="250">
        <f>C398*'[3]Base Costs'!$B$5</f>
        <v>89.039838860000003</v>
      </c>
      <c r="E398" s="250">
        <f t="shared" si="42"/>
        <v>12</v>
      </c>
      <c r="F398" s="250">
        <f t="shared" si="43"/>
        <v>3</v>
      </c>
      <c r="G398" s="250">
        <f t="shared" si="44"/>
        <v>1</v>
      </c>
      <c r="H398" s="251">
        <f>4*D398*'[3]Base Costs'!$B$7</f>
        <v>17696.133734391842</v>
      </c>
      <c r="I398" s="252">
        <f>4*IF(E398&lt;=3,E398*'[3]Base Costs'!$B$8,IF(F398&lt;=3,F398*'[3]Base Costs'!$B$9,'[3]Base Costs'!$B$10*G398))</f>
        <v>4200</v>
      </c>
      <c r="J398" s="253">
        <f>C398*'[3]Base Costs'!$B$6</f>
        <v>22.61611907044</v>
      </c>
      <c r="K398" s="250">
        <f t="shared" si="45"/>
        <v>3</v>
      </c>
      <c r="L398" s="250">
        <f t="shared" si="46"/>
        <v>1</v>
      </c>
      <c r="M398" s="250">
        <f t="shared" si="47"/>
        <v>1</v>
      </c>
      <c r="N398" s="251">
        <f>4*J398*'[3]Base Costs'!$B$7</f>
        <v>4494.8179685355281</v>
      </c>
      <c r="O398" s="252">
        <f>4*IF(K398&lt;=3,K398*'[3]Base Costs'!$B$8,IF(L398&lt;=3,L398*'[3]Base Costs'!$B$9,'[3]Base Costs'!$B$10*M398))</f>
        <v>1500</v>
      </c>
      <c r="P398" s="252">
        <f>4*C398*'[3]Base Costs'!$B$11</f>
        <v>17807.967772</v>
      </c>
      <c r="Q398">
        <f>'[3]Base Costs'!$B$13+'[3]Base Costs'!$B$14</f>
        <v>414</v>
      </c>
      <c r="R398" s="239">
        <f>'[3]Base Costs'!$D$2</f>
        <v>1105.3024868650327</v>
      </c>
      <c r="S398" s="254">
        <f t="shared" si="48"/>
        <v>7514.1204554005608</v>
      </c>
    </row>
    <row r="399" spans="1:19" x14ac:dyDescent="0.25">
      <c r="A399" s="248" t="s">
        <v>1004</v>
      </c>
      <c r="B399" s="248" t="s">
        <v>905</v>
      </c>
      <c r="C399" s="249">
        <v>189.2220829766371</v>
      </c>
      <c r="D399" s="250">
        <f>C399*'[3]Base Costs'!$B$5</f>
        <v>189.2220829766371</v>
      </c>
      <c r="E399" s="250">
        <f t="shared" si="42"/>
        <v>24</v>
      </c>
      <c r="F399" s="250">
        <f t="shared" si="43"/>
        <v>5</v>
      </c>
      <c r="G399" s="250">
        <f t="shared" si="44"/>
        <v>2</v>
      </c>
      <c r="H399" s="251">
        <f>4*D399*'[3]Base Costs'!$B$7</f>
        <v>37606.75365910877</v>
      </c>
      <c r="I399" s="252">
        <f>4*IF(E399&lt;=3,E399*'[3]Base Costs'!$B$8,IF(F399&lt;=3,F399*'[3]Base Costs'!$B$9,'[3]Base Costs'!$B$10*G399))</f>
        <v>8800</v>
      </c>
      <c r="J399" s="253">
        <f>C399*'[3]Base Costs'!$B$6</f>
        <v>48.062409076065826</v>
      </c>
      <c r="K399" s="250">
        <f t="shared" si="45"/>
        <v>7</v>
      </c>
      <c r="L399" s="250">
        <f t="shared" si="46"/>
        <v>2</v>
      </c>
      <c r="M399" s="250">
        <f t="shared" si="47"/>
        <v>1</v>
      </c>
      <c r="N399" s="251">
        <f>4*J399*'[3]Base Costs'!$B$7</f>
        <v>9552.1154294136286</v>
      </c>
      <c r="O399" s="252">
        <f>4*IF(K399&lt;=3,K399*'[3]Base Costs'!$B$8,IF(L399&lt;=3,L399*'[3]Base Costs'!$B$9,'[3]Base Costs'!$B$10*M399))</f>
        <v>2800</v>
      </c>
      <c r="P399" s="252">
        <f>4*C399*'[3]Base Costs'!$B$11</f>
        <v>37844.416595327421</v>
      </c>
      <c r="Q399">
        <f>'[3]Base Costs'!$B$13+'[3]Base Costs'!$B$14</f>
        <v>414</v>
      </c>
      <c r="R399" s="239">
        <f>'[3]Base Costs'!$D$2</f>
        <v>1105.3024868650327</v>
      </c>
      <c r="S399" s="254">
        <f t="shared" si="48"/>
        <v>13871.41791627866</v>
      </c>
    </row>
    <row r="400" spans="1:19" x14ac:dyDescent="0.25">
      <c r="A400" s="248" t="s">
        <v>1004</v>
      </c>
      <c r="B400" s="248" t="s">
        <v>906</v>
      </c>
      <c r="C400" s="249">
        <v>284.74574064572533</v>
      </c>
      <c r="D400" s="250">
        <f>C400*'[3]Base Costs'!$B$5</f>
        <v>284.74574064572533</v>
      </c>
      <c r="E400" s="250">
        <f t="shared" si="42"/>
        <v>36</v>
      </c>
      <c r="F400" s="250">
        <f t="shared" si="43"/>
        <v>8</v>
      </c>
      <c r="G400" s="250">
        <f t="shared" si="44"/>
        <v>2</v>
      </c>
      <c r="H400" s="251">
        <f>4*D400*'[3]Base Costs'!$B$7</f>
        <v>56591.507478894047</v>
      </c>
      <c r="I400" s="252">
        <f>4*IF(E400&lt;=3,E400*'[3]Base Costs'!$B$8,IF(F400&lt;=3,F400*'[3]Base Costs'!$B$9,'[3]Base Costs'!$B$10*G400))</f>
        <v>8800</v>
      </c>
      <c r="J400" s="253">
        <f>C400*'[3]Base Costs'!$B$6</f>
        <v>72.325418124014234</v>
      </c>
      <c r="K400" s="250">
        <f t="shared" si="45"/>
        <v>10</v>
      </c>
      <c r="L400" s="250">
        <f t="shared" si="46"/>
        <v>2</v>
      </c>
      <c r="M400" s="250">
        <f t="shared" si="47"/>
        <v>1</v>
      </c>
      <c r="N400" s="251">
        <f>4*J400*'[3]Base Costs'!$B$7</f>
        <v>14374.242899639086</v>
      </c>
      <c r="O400" s="252">
        <f>4*IF(K400&lt;=3,K400*'[3]Base Costs'!$B$8,IF(L400&lt;=3,L400*'[3]Base Costs'!$B$9,'[3]Base Costs'!$B$10*M400))</f>
        <v>2800</v>
      </c>
      <c r="P400" s="252">
        <f>4*C400*'[3]Base Costs'!$B$11</f>
        <v>56949.148129145069</v>
      </c>
      <c r="Q400">
        <f>'[3]Base Costs'!$B$13+'[3]Base Costs'!$B$14</f>
        <v>414</v>
      </c>
      <c r="R400" s="239">
        <f>'[3]Base Costs'!$D$2</f>
        <v>1105.3024868650327</v>
      </c>
      <c r="S400" s="254">
        <f t="shared" si="48"/>
        <v>18693.54538650412</v>
      </c>
    </row>
    <row r="401" spans="1:19" x14ac:dyDescent="0.25">
      <c r="A401" s="248" t="s">
        <v>1004</v>
      </c>
      <c r="B401" s="248" t="s">
        <v>907</v>
      </c>
      <c r="C401" s="249">
        <v>163.69992608700417</v>
      </c>
      <c r="D401" s="250">
        <f>C401*'[3]Base Costs'!$B$5</f>
        <v>163.69992608700417</v>
      </c>
      <c r="E401" s="250">
        <f t="shared" si="42"/>
        <v>21</v>
      </c>
      <c r="F401" s="250">
        <f t="shared" si="43"/>
        <v>5</v>
      </c>
      <c r="G401" s="250">
        <f t="shared" si="44"/>
        <v>2</v>
      </c>
      <c r="H401" s="251">
        <f>4*D401*'[3]Base Costs'!$B$7</f>
        <v>32534.378110235561</v>
      </c>
      <c r="I401" s="252">
        <f>4*IF(E401&lt;=3,E401*'[3]Base Costs'!$B$8,IF(F401&lt;=3,F401*'[3]Base Costs'!$B$9,'[3]Base Costs'!$B$10*G401))</f>
        <v>8800</v>
      </c>
      <c r="J401" s="253">
        <f>C401*'[3]Base Costs'!$B$6</f>
        <v>41.579781226099058</v>
      </c>
      <c r="K401" s="250">
        <f t="shared" si="45"/>
        <v>6</v>
      </c>
      <c r="L401" s="250">
        <f t="shared" si="46"/>
        <v>2</v>
      </c>
      <c r="M401" s="250">
        <f t="shared" si="47"/>
        <v>1</v>
      </c>
      <c r="N401" s="251">
        <f>4*J401*'[3]Base Costs'!$B$7</f>
        <v>8263.7320399998316</v>
      </c>
      <c r="O401" s="252">
        <f>4*IF(K401&lt;=3,K401*'[3]Base Costs'!$B$8,IF(L401&lt;=3,L401*'[3]Base Costs'!$B$9,'[3]Base Costs'!$B$10*M401))</f>
        <v>2800</v>
      </c>
      <c r="P401" s="252">
        <f>4*C401*'[3]Base Costs'!$B$11</f>
        <v>32739.985217400834</v>
      </c>
      <c r="Q401">
        <f>'[3]Base Costs'!$B$13+'[3]Base Costs'!$B$14</f>
        <v>414</v>
      </c>
      <c r="R401" s="239">
        <f>'[3]Base Costs'!$D$2</f>
        <v>1105.3024868650327</v>
      </c>
      <c r="S401" s="254">
        <f t="shared" si="48"/>
        <v>12583.034526864863</v>
      </c>
    </row>
    <row r="402" spans="1:19" x14ac:dyDescent="0.25">
      <c r="A402" s="248" t="s">
        <v>1004</v>
      </c>
      <c r="B402" s="248" t="s">
        <v>908</v>
      </c>
      <c r="C402" s="249">
        <v>379.90753905307531</v>
      </c>
      <c r="D402" s="250">
        <f>C402*'[3]Base Costs'!$B$5</f>
        <v>379.90753905307531</v>
      </c>
      <c r="E402" s="250">
        <f t="shared" si="42"/>
        <v>48</v>
      </c>
      <c r="F402" s="250">
        <f t="shared" si="43"/>
        <v>10</v>
      </c>
      <c r="G402" s="250">
        <f t="shared" si="44"/>
        <v>3</v>
      </c>
      <c r="H402" s="251">
        <f>4*D402*'[3]Base Costs'!$B$7</f>
        <v>75504.34394156441</v>
      </c>
      <c r="I402" s="252">
        <f>4*IF(E402&lt;=3,E402*'[3]Base Costs'!$B$8,IF(F402&lt;=3,F402*'[3]Base Costs'!$B$9,'[3]Base Costs'!$B$10*G402))</f>
        <v>13200</v>
      </c>
      <c r="J402" s="253">
        <f>C402*'[3]Base Costs'!$B$6</f>
        <v>96.496514919481129</v>
      </c>
      <c r="K402" s="250">
        <f t="shared" si="45"/>
        <v>13</v>
      </c>
      <c r="L402" s="250">
        <f t="shared" si="46"/>
        <v>3</v>
      </c>
      <c r="M402" s="250">
        <f t="shared" si="47"/>
        <v>1</v>
      </c>
      <c r="N402" s="251">
        <f>4*J402*'[3]Base Costs'!$B$7</f>
        <v>19178.103361157358</v>
      </c>
      <c r="O402" s="252">
        <f>4*IF(K402&lt;=3,K402*'[3]Base Costs'!$B$8,IF(L402&lt;=3,L402*'[3]Base Costs'!$B$9,'[3]Base Costs'!$B$10*M402))</f>
        <v>4200</v>
      </c>
      <c r="P402" s="252">
        <f>4*C402*'[3]Base Costs'!$B$11</f>
        <v>75981.507810615061</v>
      </c>
      <c r="Q402">
        <f>'[3]Base Costs'!$B$13+'[3]Base Costs'!$B$14</f>
        <v>414</v>
      </c>
      <c r="R402" s="239">
        <f>'[3]Base Costs'!$D$2</f>
        <v>1105.3024868650327</v>
      </c>
      <c r="S402" s="254">
        <f t="shared" si="48"/>
        <v>24897.40584802239</v>
      </c>
    </row>
    <row r="403" spans="1:19" x14ac:dyDescent="0.25">
      <c r="A403" s="248" t="s">
        <v>1004</v>
      </c>
      <c r="B403" s="248" t="s">
        <v>909</v>
      </c>
      <c r="C403" s="249">
        <v>152.06862082217981</v>
      </c>
      <c r="D403" s="250">
        <f>C403*'[3]Base Costs'!$B$5</f>
        <v>152.06862082217981</v>
      </c>
      <c r="E403" s="250">
        <f t="shared" si="42"/>
        <v>20</v>
      </c>
      <c r="F403" s="250">
        <f t="shared" si="43"/>
        <v>4</v>
      </c>
      <c r="G403" s="250">
        <f t="shared" si="44"/>
        <v>1</v>
      </c>
      <c r="H403" s="251">
        <f>4*D403*'[3]Base Costs'!$B$7</f>
        <v>30222.725976683309</v>
      </c>
      <c r="I403" s="252">
        <f>4*IF(E403&lt;=3,E403*'[3]Base Costs'!$B$8,IF(F403&lt;=3,F403*'[3]Base Costs'!$B$9,'[3]Base Costs'!$B$10*G403))</f>
        <v>4400</v>
      </c>
      <c r="J403" s="253">
        <f>C403*'[3]Base Costs'!$B$6</f>
        <v>38.62542968883367</v>
      </c>
      <c r="K403" s="250">
        <f t="shared" si="45"/>
        <v>5</v>
      </c>
      <c r="L403" s="250">
        <f t="shared" si="46"/>
        <v>1</v>
      </c>
      <c r="M403" s="250">
        <f t="shared" si="47"/>
        <v>1</v>
      </c>
      <c r="N403" s="251">
        <f>4*J403*'[3]Base Costs'!$B$7</f>
        <v>7676.5723980775601</v>
      </c>
      <c r="O403" s="252">
        <f>4*IF(K403&lt;=3,K403*'[3]Base Costs'!$B$8,IF(L403&lt;=3,L403*'[3]Base Costs'!$B$9,'[3]Base Costs'!$B$10*M403))</f>
        <v>1400</v>
      </c>
      <c r="P403" s="252">
        <f>4*C403*'[3]Base Costs'!$B$11</f>
        <v>30413.72416443596</v>
      </c>
      <c r="Q403">
        <f>'[3]Base Costs'!$B$13+'[3]Base Costs'!$B$14</f>
        <v>414</v>
      </c>
      <c r="R403" s="239">
        <f>'[3]Base Costs'!$D$2</f>
        <v>1105.3024868650327</v>
      </c>
      <c r="S403" s="254">
        <f t="shared" si="48"/>
        <v>10595.874884942594</v>
      </c>
    </row>
    <row r="404" spans="1:19" x14ac:dyDescent="0.25">
      <c r="A404" s="248" t="s">
        <v>1004</v>
      </c>
      <c r="B404" s="248" t="s">
        <v>910</v>
      </c>
      <c r="C404" s="249">
        <v>137.92587917082076</v>
      </c>
      <c r="D404" s="250">
        <f>C404*'[3]Base Costs'!$B$5</f>
        <v>137.92587917082076</v>
      </c>
      <c r="E404" s="250">
        <f t="shared" si="42"/>
        <v>18</v>
      </c>
      <c r="F404" s="250">
        <f t="shared" si="43"/>
        <v>4</v>
      </c>
      <c r="G404" s="250">
        <f t="shared" si="44"/>
        <v>1</v>
      </c>
      <c r="H404" s="251">
        <f>4*D404*'[3]Base Costs'!$B$7</f>
        <v>27411.940929925604</v>
      </c>
      <c r="I404" s="252">
        <f>4*IF(E404&lt;=3,E404*'[3]Base Costs'!$B$8,IF(F404&lt;=3,F404*'[3]Base Costs'!$B$9,'[3]Base Costs'!$B$10*G404))</f>
        <v>4400</v>
      </c>
      <c r="J404" s="253">
        <f>C404*'[3]Base Costs'!$B$6</f>
        <v>35.033173309388474</v>
      </c>
      <c r="K404" s="250">
        <f t="shared" si="45"/>
        <v>5</v>
      </c>
      <c r="L404" s="250">
        <f t="shared" si="46"/>
        <v>1</v>
      </c>
      <c r="M404" s="250">
        <f t="shared" si="47"/>
        <v>1</v>
      </c>
      <c r="N404" s="251">
        <f>4*J404*'[3]Base Costs'!$B$7</f>
        <v>6962.6329962011041</v>
      </c>
      <c r="O404" s="252">
        <f>4*IF(K404&lt;=3,K404*'[3]Base Costs'!$B$8,IF(L404&lt;=3,L404*'[3]Base Costs'!$B$9,'[3]Base Costs'!$B$10*M404))</f>
        <v>1400</v>
      </c>
      <c r="P404" s="252">
        <f>4*C404*'[3]Base Costs'!$B$11</f>
        <v>27585.175834164154</v>
      </c>
      <c r="Q404">
        <f>'[3]Base Costs'!$B$13+'[3]Base Costs'!$B$14</f>
        <v>414</v>
      </c>
      <c r="R404" s="239">
        <f>'[3]Base Costs'!$D$2</f>
        <v>1105.3024868650327</v>
      </c>
      <c r="S404" s="254">
        <f t="shared" si="48"/>
        <v>9881.9354830661359</v>
      </c>
    </row>
    <row r="405" spans="1:19" x14ac:dyDescent="0.25">
      <c r="A405" s="248" t="s">
        <v>1004</v>
      </c>
      <c r="B405" s="248" t="s">
        <v>911</v>
      </c>
      <c r="C405" s="249">
        <v>216.90940794006988</v>
      </c>
      <c r="D405" s="250">
        <f>C405*'[3]Base Costs'!$B$5</f>
        <v>216.90940794006988</v>
      </c>
      <c r="E405" s="250">
        <f t="shared" si="42"/>
        <v>28</v>
      </c>
      <c r="F405" s="250">
        <f t="shared" si="43"/>
        <v>6</v>
      </c>
      <c r="G405" s="250">
        <f t="shared" si="44"/>
        <v>2</v>
      </c>
      <c r="H405" s="251">
        <f>4*D405*'[3]Base Costs'!$B$7</f>
        <v>43109.443371641253</v>
      </c>
      <c r="I405" s="252">
        <f>4*IF(E405&lt;=3,E405*'[3]Base Costs'!$B$8,IF(F405&lt;=3,F405*'[3]Base Costs'!$B$9,'[3]Base Costs'!$B$10*G405))</f>
        <v>8800</v>
      </c>
      <c r="J405" s="253">
        <f>C405*'[3]Base Costs'!$B$6</f>
        <v>55.094989616777752</v>
      </c>
      <c r="K405" s="250">
        <f t="shared" si="45"/>
        <v>7</v>
      </c>
      <c r="L405" s="250">
        <f t="shared" si="46"/>
        <v>2</v>
      </c>
      <c r="M405" s="250">
        <f t="shared" si="47"/>
        <v>1</v>
      </c>
      <c r="N405" s="251">
        <f>4*J405*'[3]Base Costs'!$B$7</f>
        <v>10949.79861639688</v>
      </c>
      <c r="O405" s="252">
        <f>4*IF(K405&lt;=3,K405*'[3]Base Costs'!$B$8,IF(L405&lt;=3,L405*'[3]Base Costs'!$B$9,'[3]Base Costs'!$B$10*M405))</f>
        <v>2800</v>
      </c>
      <c r="P405" s="252">
        <f>4*C405*'[3]Base Costs'!$B$11</f>
        <v>43381.881588013974</v>
      </c>
      <c r="Q405">
        <f>'[3]Base Costs'!$B$13+'[3]Base Costs'!$B$14</f>
        <v>414</v>
      </c>
      <c r="R405" s="239">
        <f>'[3]Base Costs'!$D$2</f>
        <v>1105.3024868650327</v>
      </c>
      <c r="S405" s="254">
        <f t="shared" si="48"/>
        <v>15269.101103261914</v>
      </c>
    </row>
    <row r="406" spans="1:19" x14ac:dyDescent="0.25">
      <c r="A406" s="248" t="s">
        <v>1004</v>
      </c>
      <c r="B406" s="248" t="s">
        <v>993</v>
      </c>
      <c r="C406" s="249">
        <v>66.969219256760823</v>
      </c>
      <c r="D406" s="250">
        <f>C406*'[3]Base Costs'!$B$5</f>
        <v>66.969219256760823</v>
      </c>
      <c r="E406" s="250">
        <f t="shared" si="42"/>
        <v>9</v>
      </c>
      <c r="F406" s="250">
        <f t="shared" si="43"/>
        <v>2</v>
      </c>
      <c r="G406" s="250">
        <f t="shared" si="44"/>
        <v>1</v>
      </c>
      <c r="H406" s="251">
        <f>4*D406*'[3]Base Costs'!$B$7</f>
        <v>13309.730511965676</v>
      </c>
      <c r="I406" s="252">
        <f>4*IF(E406&lt;=3,E406*'[3]Base Costs'!$B$8,IF(F406&lt;=3,F406*'[3]Base Costs'!$B$9,'[3]Base Costs'!$B$10*G406))</f>
        <v>2800</v>
      </c>
      <c r="J406" s="253">
        <f>C406*'[3]Base Costs'!$B$6</f>
        <v>17.010181691217248</v>
      </c>
      <c r="K406" s="250">
        <f t="shared" si="45"/>
        <v>3</v>
      </c>
      <c r="L406" s="250">
        <f t="shared" si="46"/>
        <v>1</v>
      </c>
      <c r="M406" s="250">
        <f t="shared" si="47"/>
        <v>1</v>
      </c>
      <c r="N406" s="251">
        <f>4*J406*'[3]Base Costs'!$B$7</f>
        <v>3380.6715500392811</v>
      </c>
      <c r="O406" s="252">
        <f>4*IF(K406&lt;=3,K406*'[3]Base Costs'!$B$8,IF(L406&lt;=3,L406*'[3]Base Costs'!$B$9,'[3]Base Costs'!$B$10*M406))</f>
        <v>1500</v>
      </c>
      <c r="P406" s="252">
        <f>4*C406*'[3]Base Costs'!$B$11</f>
        <v>13393.843851352165</v>
      </c>
      <c r="Q406">
        <f>'[3]Base Costs'!$B$13+'[3]Base Costs'!$B$14</f>
        <v>414</v>
      </c>
      <c r="R406" s="239">
        <f>'[3]Base Costs'!$D$2</f>
        <v>1105.3024868650327</v>
      </c>
      <c r="S406" s="254">
        <f t="shared" si="48"/>
        <v>6399.9740369043138</v>
      </c>
    </row>
    <row r="407" spans="1:19" x14ac:dyDescent="0.25">
      <c r="A407" s="248" t="s">
        <v>1004</v>
      </c>
      <c r="B407" s="248" t="s">
        <v>912</v>
      </c>
      <c r="C407" s="249">
        <v>107.20252003133781</v>
      </c>
      <c r="D407" s="250">
        <f>C407*'[3]Base Costs'!$B$5</f>
        <v>107.20252003133781</v>
      </c>
      <c r="E407" s="250">
        <f t="shared" si="42"/>
        <v>14</v>
      </c>
      <c r="F407" s="250">
        <f t="shared" si="43"/>
        <v>3</v>
      </c>
      <c r="G407" s="250">
        <f t="shared" si="44"/>
        <v>1</v>
      </c>
      <c r="H407" s="251">
        <f>4*D407*'[3]Base Costs'!$B$7</f>
        <v>21305.857641108207</v>
      </c>
      <c r="I407" s="252">
        <f>4*IF(E407&lt;=3,E407*'[3]Base Costs'!$B$8,IF(F407&lt;=3,F407*'[3]Base Costs'!$B$9,'[3]Base Costs'!$B$10*G407))</f>
        <v>4200</v>
      </c>
      <c r="J407" s="253">
        <f>C407*'[3]Base Costs'!$B$6</f>
        <v>27.229440087959805</v>
      </c>
      <c r="K407" s="250">
        <f t="shared" si="45"/>
        <v>4</v>
      </c>
      <c r="L407" s="250">
        <f t="shared" si="46"/>
        <v>1</v>
      </c>
      <c r="M407" s="250">
        <f t="shared" si="47"/>
        <v>1</v>
      </c>
      <c r="N407" s="251">
        <f>4*J407*'[3]Base Costs'!$B$7</f>
        <v>5411.6878408414841</v>
      </c>
      <c r="O407" s="252">
        <f>4*IF(K407&lt;=3,K407*'[3]Base Costs'!$B$8,IF(L407&lt;=3,L407*'[3]Base Costs'!$B$9,'[3]Base Costs'!$B$10*M407))</f>
        <v>1400</v>
      </c>
      <c r="P407" s="252">
        <f>4*C407*'[3]Base Costs'!$B$11</f>
        <v>21440.504006267562</v>
      </c>
      <c r="Q407">
        <f>'[3]Base Costs'!$B$13+'[3]Base Costs'!$B$14</f>
        <v>414</v>
      </c>
      <c r="R407" s="239">
        <f>'[3]Base Costs'!$D$2</f>
        <v>1105.3024868650327</v>
      </c>
      <c r="S407" s="254">
        <f t="shared" si="48"/>
        <v>8330.9903277065168</v>
      </c>
    </row>
    <row r="408" spans="1:19" x14ac:dyDescent="0.25">
      <c r="A408" s="248" t="s">
        <v>1004</v>
      </c>
      <c r="B408" s="248" t="s">
        <v>913</v>
      </c>
      <c r="C408" s="249">
        <v>78.148313864949003</v>
      </c>
      <c r="D408" s="250">
        <f>C408*'[3]Base Costs'!$B$5</f>
        <v>78.148313864949003</v>
      </c>
      <c r="E408" s="250">
        <f t="shared" si="42"/>
        <v>10</v>
      </c>
      <c r="F408" s="250">
        <f t="shared" si="43"/>
        <v>2</v>
      </c>
      <c r="G408" s="250">
        <f t="shared" si="44"/>
        <v>1</v>
      </c>
      <c r="H408" s="251">
        <f>4*D408*'[3]Base Costs'!$B$7</f>
        <v>15531.508490775426</v>
      </c>
      <c r="I408" s="252">
        <f>4*IF(E408&lt;=3,E408*'[3]Base Costs'!$B$8,IF(F408&lt;=3,F408*'[3]Base Costs'!$B$9,'[3]Base Costs'!$B$10*G408))</f>
        <v>2800</v>
      </c>
      <c r="J408" s="253">
        <f>C408*'[3]Base Costs'!$B$6</f>
        <v>19.849671721697046</v>
      </c>
      <c r="K408" s="250">
        <f t="shared" si="45"/>
        <v>3</v>
      </c>
      <c r="L408" s="250">
        <f t="shared" si="46"/>
        <v>1</v>
      </c>
      <c r="M408" s="250">
        <f t="shared" si="47"/>
        <v>1</v>
      </c>
      <c r="N408" s="251">
        <f>4*J408*'[3]Base Costs'!$B$7</f>
        <v>3945.0031566569583</v>
      </c>
      <c r="O408" s="252">
        <f>4*IF(K408&lt;=3,K408*'[3]Base Costs'!$B$8,IF(L408&lt;=3,L408*'[3]Base Costs'!$B$9,'[3]Base Costs'!$B$10*M408))</f>
        <v>1500</v>
      </c>
      <c r="P408" s="252">
        <f>4*C408*'[3]Base Costs'!$B$11</f>
        <v>15629.662772989801</v>
      </c>
      <c r="Q408">
        <f>'[3]Base Costs'!$B$13+'[3]Base Costs'!$B$14</f>
        <v>414</v>
      </c>
      <c r="R408" s="239">
        <f>'[3]Base Costs'!$D$2</f>
        <v>1105.3024868650327</v>
      </c>
      <c r="S408" s="254">
        <f t="shared" si="48"/>
        <v>6964.3056435219914</v>
      </c>
    </row>
    <row r="409" spans="1:19" x14ac:dyDescent="0.25">
      <c r="A409" s="248" t="s">
        <v>1004</v>
      </c>
      <c r="B409" s="248" t="s">
        <v>1007</v>
      </c>
      <c r="C409" s="249">
        <v>60.560721689172112</v>
      </c>
      <c r="D409" s="250">
        <f>C409*'[3]Base Costs'!$B$5</f>
        <v>60.560721689172112</v>
      </c>
      <c r="E409" s="250">
        <f t="shared" si="42"/>
        <v>8</v>
      </c>
      <c r="F409" s="250">
        <f t="shared" si="43"/>
        <v>2</v>
      </c>
      <c r="G409" s="250">
        <f t="shared" si="44"/>
        <v>1</v>
      </c>
      <c r="H409" s="251">
        <f>4*D409*'[3]Base Costs'!$B$7</f>
        <v>12036.080071392824</v>
      </c>
      <c r="I409" s="252">
        <f>4*IF(E409&lt;=3,E409*'[3]Base Costs'!$B$8,IF(F409&lt;=3,F409*'[3]Base Costs'!$B$9,'[3]Base Costs'!$B$10*G409))</f>
        <v>2800</v>
      </c>
      <c r="J409" s="253">
        <f>C409*'[3]Base Costs'!$B$6</f>
        <v>15.382423309049717</v>
      </c>
      <c r="K409" s="250">
        <f t="shared" si="45"/>
        <v>2</v>
      </c>
      <c r="L409" s="250">
        <f t="shared" si="46"/>
        <v>1</v>
      </c>
      <c r="M409" s="250">
        <f t="shared" si="47"/>
        <v>1</v>
      </c>
      <c r="N409" s="251">
        <f>4*J409*'[3]Base Costs'!$B$7</f>
        <v>3057.1643381337772</v>
      </c>
      <c r="O409" s="252">
        <f>4*IF(K409&lt;=3,K409*'[3]Base Costs'!$B$8,IF(L409&lt;=3,L409*'[3]Base Costs'!$B$9,'[3]Base Costs'!$B$10*M409))</f>
        <v>1000</v>
      </c>
      <c r="P409" s="252">
        <f>4*C409*'[3]Base Costs'!$B$11</f>
        <v>12112.144337834423</v>
      </c>
      <c r="Q409">
        <f>'[3]Base Costs'!$B$13+'[3]Base Costs'!$B$14</f>
        <v>414</v>
      </c>
      <c r="R409" s="239">
        <f>'[3]Base Costs'!$D$2</f>
        <v>1105.3024868650327</v>
      </c>
      <c r="S409" s="254">
        <f t="shared" si="48"/>
        <v>5576.4668249988099</v>
      </c>
    </row>
    <row r="410" spans="1:19" x14ac:dyDescent="0.25">
      <c r="A410" s="248" t="s">
        <v>1004</v>
      </c>
      <c r="B410" s="248" t="s">
        <v>914</v>
      </c>
      <c r="C410" s="249">
        <v>84.100704120000003</v>
      </c>
      <c r="D410" s="250">
        <f>C410*'[3]Base Costs'!$B$5</f>
        <v>84.100704120000003</v>
      </c>
      <c r="E410" s="250">
        <f t="shared" si="42"/>
        <v>11</v>
      </c>
      <c r="F410" s="250">
        <f t="shared" si="43"/>
        <v>3</v>
      </c>
      <c r="G410" s="250">
        <f t="shared" si="44"/>
        <v>1</v>
      </c>
      <c r="H410" s="251">
        <f>4*D410*'[3]Base Costs'!$B$7</f>
        <v>16714.510339625282</v>
      </c>
      <c r="I410" s="252">
        <f>4*IF(E410&lt;=3,E410*'[3]Base Costs'!$B$8,IF(F410&lt;=3,F410*'[3]Base Costs'!$B$9,'[3]Base Costs'!$B$10*G410))</f>
        <v>4200</v>
      </c>
      <c r="J410" s="253">
        <f>C410*'[3]Base Costs'!$B$6</f>
        <v>21.36157884648</v>
      </c>
      <c r="K410" s="250">
        <f t="shared" si="45"/>
        <v>3</v>
      </c>
      <c r="L410" s="250">
        <f t="shared" si="46"/>
        <v>1</v>
      </c>
      <c r="M410" s="250">
        <f t="shared" si="47"/>
        <v>1</v>
      </c>
      <c r="N410" s="251">
        <f>4*J410*'[3]Base Costs'!$B$7</f>
        <v>4245.4856262648218</v>
      </c>
      <c r="O410" s="252">
        <f>4*IF(K410&lt;=3,K410*'[3]Base Costs'!$B$8,IF(L410&lt;=3,L410*'[3]Base Costs'!$B$9,'[3]Base Costs'!$B$10*M410))</f>
        <v>1500</v>
      </c>
      <c r="P410" s="252">
        <f>4*C410*'[3]Base Costs'!$B$11</f>
        <v>16820.140824000002</v>
      </c>
      <c r="Q410">
        <f>'[3]Base Costs'!$B$13+'[3]Base Costs'!$B$14</f>
        <v>414</v>
      </c>
      <c r="R410" s="239">
        <f>'[3]Base Costs'!$D$2</f>
        <v>1105.3024868650327</v>
      </c>
      <c r="S410" s="254">
        <f t="shared" si="48"/>
        <v>7264.7881131298545</v>
      </c>
    </row>
    <row r="411" spans="1:19" x14ac:dyDescent="0.25">
      <c r="A411" s="248" t="s">
        <v>1004</v>
      </c>
      <c r="B411" s="248" t="s">
        <v>915</v>
      </c>
      <c r="C411" s="249">
        <v>204.71121190144817</v>
      </c>
      <c r="D411" s="250">
        <f>C411*'[3]Base Costs'!$B$5</f>
        <v>204.71121190144817</v>
      </c>
      <c r="E411" s="250">
        <f t="shared" si="42"/>
        <v>26</v>
      </c>
      <c r="F411" s="250">
        <f t="shared" si="43"/>
        <v>6</v>
      </c>
      <c r="G411" s="250">
        <f t="shared" si="44"/>
        <v>2</v>
      </c>
      <c r="H411" s="251">
        <f>4*D411*'[3]Base Costs'!$B$7</f>
        <v>40685.12509814142</v>
      </c>
      <c r="I411" s="252">
        <f>4*IF(E411&lt;=3,E411*'[3]Base Costs'!$B$8,IF(F411&lt;=3,F411*'[3]Base Costs'!$B$9,'[3]Base Costs'!$B$10*G411))</f>
        <v>8800</v>
      </c>
      <c r="J411" s="253">
        <f>C411*'[3]Base Costs'!$B$6</f>
        <v>51.996647822967837</v>
      </c>
      <c r="K411" s="250">
        <f t="shared" si="45"/>
        <v>7</v>
      </c>
      <c r="L411" s="250">
        <f t="shared" si="46"/>
        <v>2</v>
      </c>
      <c r="M411" s="250">
        <f t="shared" si="47"/>
        <v>1</v>
      </c>
      <c r="N411" s="251">
        <f>4*J411*'[3]Base Costs'!$B$7</f>
        <v>10334.021774927922</v>
      </c>
      <c r="O411" s="252">
        <f>4*IF(K411&lt;=3,K411*'[3]Base Costs'!$B$8,IF(L411&lt;=3,L411*'[3]Base Costs'!$B$9,'[3]Base Costs'!$B$10*M411))</f>
        <v>2800</v>
      </c>
      <c r="P411" s="252">
        <f>4*C411*'[3]Base Costs'!$B$11</f>
        <v>40942.24238028963</v>
      </c>
      <c r="Q411">
        <f>'[3]Base Costs'!$B$13+'[3]Base Costs'!$B$14</f>
        <v>414</v>
      </c>
      <c r="R411" s="239">
        <f>'[3]Base Costs'!$D$2</f>
        <v>1105.3024868650327</v>
      </c>
      <c r="S411" s="254">
        <f t="shared" si="48"/>
        <v>14653.324261792954</v>
      </c>
    </row>
    <row r="412" spans="1:19" x14ac:dyDescent="0.25">
      <c r="A412" s="248" t="s">
        <v>1004</v>
      </c>
      <c r="B412" s="248" t="s">
        <v>916</v>
      </c>
      <c r="C412" s="249">
        <v>58.000146891315531</v>
      </c>
      <c r="D412" s="250">
        <f>C412*'[3]Base Costs'!$B$5</f>
        <v>58.000146891315531</v>
      </c>
      <c r="E412" s="250">
        <f t="shared" si="42"/>
        <v>8</v>
      </c>
      <c r="F412" s="250">
        <f t="shared" si="43"/>
        <v>2</v>
      </c>
      <c r="G412" s="250">
        <f t="shared" si="44"/>
        <v>1</v>
      </c>
      <c r="H412" s="251">
        <f>4*D412*'[3]Base Costs'!$B$7</f>
        <v>11527.181193767616</v>
      </c>
      <c r="I412" s="252">
        <f>4*IF(E412&lt;=3,E412*'[3]Base Costs'!$B$8,IF(F412&lt;=3,F412*'[3]Base Costs'!$B$9,'[3]Base Costs'!$B$10*G412))</f>
        <v>2800</v>
      </c>
      <c r="J412" s="253">
        <f>C412*'[3]Base Costs'!$B$6</f>
        <v>14.732037310394144</v>
      </c>
      <c r="K412" s="250">
        <f t="shared" si="45"/>
        <v>2</v>
      </c>
      <c r="L412" s="250">
        <f t="shared" si="46"/>
        <v>1</v>
      </c>
      <c r="M412" s="250">
        <f t="shared" si="47"/>
        <v>1</v>
      </c>
      <c r="N412" s="251">
        <f>4*J412*'[3]Base Costs'!$B$7</f>
        <v>2927.9040232169741</v>
      </c>
      <c r="O412" s="252">
        <f>4*IF(K412&lt;=3,K412*'[3]Base Costs'!$B$8,IF(L412&lt;=3,L412*'[3]Base Costs'!$B$9,'[3]Base Costs'!$B$10*M412))</f>
        <v>1000</v>
      </c>
      <c r="P412" s="252">
        <f>4*C412*'[3]Base Costs'!$B$11</f>
        <v>11600.029378263107</v>
      </c>
      <c r="Q412">
        <f>'[3]Base Costs'!$B$13+'[3]Base Costs'!$B$14</f>
        <v>414</v>
      </c>
      <c r="R412" s="239">
        <f>'[3]Base Costs'!$D$2</f>
        <v>1105.3024868650327</v>
      </c>
      <c r="S412" s="254">
        <f t="shared" si="48"/>
        <v>5447.2065100820073</v>
      </c>
    </row>
    <row r="413" spans="1:19" x14ac:dyDescent="0.25">
      <c r="A413" s="248" t="s">
        <v>1004</v>
      </c>
      <c r="B413" s="248" t="s">
        <v>917</v>
      </c>
      <c r="C413" s="249">
        <v>134.72447849462364</v>
      </c>
      <c r="D413" s="250">
        <f>C413*'[3]Base Costs'!$B$5</f>
        <v>134.72447849462364</v>
      </c>
      <c r="E413" s="250">
        <f t="shared" si="42"/>
        <v>17</v>
      </c>
      <c r="F413" s="250">
        <f t="shared" si="43"/>
        <v>4</v>
      </c>
      <c r="G413" s="250">
        <f t="shared" si="44"/>
        <v>1</v>
      </c>
      <c r="H413" s="251">
        <f>4*D413*'[3]Base Costs'!$B$7</f>
        <v>26775.681753935485</v>
      </c>
      <c r="I413" s="252">
        <f>4*IF(E413&lt;=3,E413*'[3]Base Costs'!$B$8,IF(F413&lt;=3,F413*'[3]Base Costs'!$B$9,'[3]Base Costs'!$B$10*G413))</f>
        <v>4400</v>
      </c>
      <c r="J413" s="253">
        <f>C413*'[3]Base Costs'!$B$6</f>
        <v>34.220017537634405</v>
      </c>
      <c r="K413" s="250">
        <f t="shared" si="45"/>
        <v>5</v>
      </c>
      <c r="L413" s="250">
        <f t="shared" si="46"/>
        <v>1</v>
      </c>
      <c r="M413" s="250">
        <f t="shared" si="47"/>
        <v>1</v>
      </c>
      <c r="N413" s="251">
        <f>4*J413*'[3]Base Costs'!$B$7</f>
        <v>6801.0231654996132</v>
      </c>
      <c r="O413" s="252">
        <f>4*IF(K413&lt;=3,K413*'[3]Base Costs'!$B$8,IF(L413&lt;=3,L413*'[3]Base Costs'!$B$9,'[3]Base Costs'!$B$10*M413))</f>
        <v>1400</v>
      </c>
      <c r="P413" s="252">
        <f>4*C413*'[3]Base Costs'!$B$11</f>
        <v>26944.895698924727</v>
      </c>
      <c r="Q413">
        <f>'[3]Base Costs'!$B$13+'[3]Base Costs'!$B$14</f>
        <v>414</v>
      </c>
      <c r="R413" s="239">
        <f>'[3]Base Costs'!$D$2</f>
        <v>1105.3024868650327</v>
      </c>
      <c r="S413" s="254">
        <f t="shared" si="48"/>
        <v>9720.3256523646451</v>
      </c>
    </row>
    <row r="414" spans="1:19" x14ac:dyDescent="0.25">
      <c r="A414" s="248" t="s">
        <v>1004</v>
      </c>
      <c r="B414" s="248" t="s">
        <v>994</v>
      </c>
      <c r="C414" s="249">
        <v>48.707478570160866</v>
      </c>
      <c r="D414" s="250">
        <f>C414*'[3]Base Costs'!$B$5</f>
        <v>48.707478570160866</v>
      </c>
      <c r="E414" s="250">
        <f t="shared" si="42"/>
        <v>7</v>
      </c>
      <c r="F414" s="250">
        <f t="shared" si="43"/>
        <v>2</v>
      </c>
      <c r="G414" s="250">
        <f t="shared" si="44"/>
        <v>1</v>
      </c>
      <c r="H414" s="251">
        <f>4*D414*'[3]Base Costs'!$B$7</f>
        <v>9680.3191209480519</v>
      </c>
      <c r="I414" s="252">
        <f>4*IF(E414&lt;=3,E414*'[3]Base Costs'!$B$8,IF(F414&lt;=3,F414*'[3]Base Costs'!$B$9,'[3]Base Costs'!$B$10*G414))</f>
        <v>2800</v>
      </c>
      <c r="J414" s="253">
        <f>C414*'[3]Base Costs'!$B$6</f>
        <v>12.371699556820861</v>
      </c>
      <c r="K414" s="250">
        <f t="shared" si="45"/>
        <v>2</v>
      </c>
      <c r="L414" s="250">
        <f t="shared" si="46"/>
        <v>1</v>
      </c>
      <c r="M414" s="250">
        <f t="shared" si="47"/>
        <v>1</v>
      </c>
      <c r="N414" s="251">
        <f>4*J414*'[3]Base Costs'!$B$7</f>
        <v>2458.8010567208057</v>
      </c>
      <c r="O414" s="252">
        <f>4*IF(K414&lt;=3,K414*'[3]Base Costs'!$B$8,IF(L414&lt;=3,L414*'[3]Base Costs'!$B$9,'[3]Base Costs'!$B$10*M414))</f>
        <v>1000</v>
      </c>
      <c r="P414" s="252">
        <f>4*C414*'[3]Base Costs'!$B$11</f>
        <v>9741.4957140321731</v>
      </c>
      <c r="Q414">
        <f>'[3]Base Costs'!$B$13+'[3]Base Costs'!$B$14</f>
        <v>414</v>
      </c>
      <c r="R414" s="239">
        <f>'[3]Base Costs'!$D$2</f>
        <v>1105.3024868650327</v>
      </c>
      <c r="S414" s="254">
        <f t="shared" si="48"/>
        <v>4978.1035435858385</v>
      </c>
    </row>
    <row r="415" spans="1:19" x14ac:dyDescent="0.25">
      <c r="A415" s="248" t="s">
        <v>1004</v>
      </c>
      <c r="B415" s="248" t="s">
        <v>918</v>
      </c>
      <c r="C415" s="249">
        <v>240.4196005721135</v>
      </c>
      <c r="D415" s="250">
        <f>C415*'[3]Base Costs'!$B$5</f>
        <v>240.4196005721135</v>
      </c>
      <c r="E415" s="250">
        <f t="shared" si="42"/>
        <v>31</v>
      </c>
      <c r="F415" s="250">
        <f t="shared" si="43"/>
        <v>7</v>
      </c>
      <c r="G415" s="250">
        <f t="shared" si="44"/>
        <v>2</v>
      </c>
      <c r="H415" s="251">
        <f>4*D415*'[3]Base Costs'!$B$7</f>
        <v>47781.953096104131</v>
      </c>
      <c r="I415" s="252">
        <f>4*IF(E415&lt;=3,E415*'[3]Base Costs'!$B$8,IF(F415&lt;=3,F415*'[3]Base Costs'!$B$9,'[3]Base Costs'!$B$10*G415))</f>
        <v>8800</v>
      </c>
      <c r="J415" s="253">
        <f>C415*'[3]Base Costs'!$B$6</f>
        <v>61.06657854531683</v>
      </c>
      <c r="K415" s="250">
        <f t="shared" si="45"/>
        <v>8</v>
      </c>
      <c r="L415" s="250">
        <f t="shared" si="46"/>
        <v>2</v>
      </c>
      <c r="M415" s="250">
        <f t="shared" si="47"/>
        <v>1</v>
      </c>
      <c r="N415" s="251">
        <f>4*J415*'[3]Base Costs'!$B$7</f>
        <v>12136.616086410449</v>
      </c>
      <c r="O415" s="252">
        <f>4*IF(K415&lt;=3,K415*'[3]Base Costs'!$B$8,IF(L415&lt;=3,L415*'[3]Base Costs'!$B$9,'[3]Base Costs'!$B$10*M415))</f>
        <v>2800</v>
      </c>
      <c r="P415" s="252">
        <f>4*C415*'[3]Base Costs'!$B$11</f>
        <v>48083.920114422697</v>
      </c>
      <c r="Q415">
        <f>'[3]Base Costs'!$B$13+'[3]Base Costs'!$B$14</f>
        <v>414</v>
      </c>
      <c r="R415" s="239">
        <f>'[3]Base Costs'!$D$2</f>
        <v>1105.3024868650327</v>
      </c>
      <c r="S415" s="254">
        <f t="shared" si="48"/>
        <v>16455.918573275481</v>
      </c>
    </row>
    <row r="416" spans="1:19" x14ac:dyDescent="0.25">
      <c r="A416" s="248" t="s">
        <v>1004</v>
      </c>
      <c r="B416" s="248" t="s">
        <v>919</v>
      </c>
      <c r="C416" s="249">
        <v>98.967016970091663</v>
      </c>
      <c r="D416" s="250">
        <f>C416*'[3]Base Costs'!$B$5</f>
        <v>98.967016970091663</v>
      </c>
      <c r="E416" s="250">
        <f t="shared" si="42"/>
        <v>13</v>
      </c>
      <c r="F416" s="250">
        <f t="shared" si="43"/>
        <v>3</v>
      </c>
      <c r="G416" s="250">
        <f t="shared" si="44"/>
        <v>1</v>
      </c>
      <c r="H416" s="251">
        <f>4*D416*'[3]Base Costs'!$B$7</f>
        <v>19669.100820703901</v>
      </c>
      <c r="I416" s="252">
        <f>4*IF(E416&lt;=3,E416*'[3]Base Costs'!$B$8,IF(F416&lt;=3,F416*'[3]Base Costs'!$B$9,'[3]Base Costs'!$B$10*G416))</f>
        <v>4200</v>
      </c>
      <c r="J416" s="253">
        <f>C416*'[3]Base Costs'!$B$6</f>
        <v>25.137622310403284</v>
      </c>
      <c r="K416" s="250">
        <f t="shared" si="45"/>
        <v>4</v>
      </c>
      <c r="L416" s="250">
        <f t="shared" si="46"/>
        <v>1</v>
      </c>
      <c r="M416" s="250">
        <f t="shared" si="47"/>
        <v>1</v>
      </c>
      <c r="N416" s="251">
        <f>4*J416*'[3]Base Costs'!$B$7</f>
        <v>4995.9516084587913</v>
      </c>
      <c r="O416" s="252">
        <f>4*IF(K416&lt;=3,K416*'[3]Base Costs'!$B$8,IF(L416&lt;=3,L416*'[3]Base Costs'!$B$9,'[3]Base Costs'!$B$10*M416))</f>
        <v>1400</v>
      </c>
      <c r="P416" s="252">
        <f>4*C416*'[3]Base Costs'!$B$11</f>
        <v>19793.403394018333</v>
      </c>
      <c r="Q416">
        <f>'[3]Base Costs'!$B$13+'[3]Base Costs'!$B$14</f>
        <v>414</v>
      </c>
      <c r="R416" s="239">
        <f>'[3]Base Costs'!$D$2</f>
        <v>1105.3024868650327</v>
      </c>
      <c r="S416" s="254">
        <f t="shared" si="48"/>
        <v>7915.254095323824</v>
      </c>
    </row>
    <row r="417" spans="1:19" x14ac:dyDescent="0.25">
      <c r="A417" s="248" t="s">
        <v>1004</v>
      </c>
      <c r="B417" s="248" t="s">
        <v>920</v>
      </c>
      <c r="C417" s="249">
        <v>164.91928725109986</v>
      </c>
      <c r="D417" s="250">
        <f>C417*'[3]Base Costs'!$B$5</f>
        <v>164.91928725109986</v>
      </c>
      <c r="E417" s="250">
        <f t="shared" si="42"/>
        <v>21</v>
      </c>
      <c r="F417" s="250">
        <f t="shared" si="43"/>
        <v>5</v>
      </c>
      <c r="G417" s="250">
        <f t="shared" si="44"/>
        <v>2</v>
      </c>
      <c r="H417" s="251">
        <f>4*D417*'[3]Base Costs'!$B$7</f>
        <v>32776.718825432596</v>
      </c>
      <c r="I417" s="252">
        <f>4*IF(E417&lt;=3,E417*'[3]Base Costs'!$B$8,IF(F417&lt;=3,F417*'[3]Base Costs'!$B$9,'[3]Base Costs'!$B$10*G417))</f>
        <v>8800</v>
      </c>
      <c r="J417" s="253">
        <f>C417*'[3]Base Costs'!$B$6</f>
        <v>41.889498961779367</v>
      </c>
      <c r="K417" s="250">
        <f t="shared" si="45"/>
        <v>6</v>
      </c>
      <c r="L417" s="250">
        <f t="shared" si="46"/>
        <v>2</v>
      </c>
      <c r="M417" s="250">
        <f t="shared" si="47"/>
        <v>1</v>
      </c>
      <c r="N417" s="251">
        <f>4*J417*'[3]Base Costs'!$B$7</f>
        <v>8325.2865816598805</v>
      </c>
      <c r="O417" s="252">
        <f>4*IF(K417&lt;=3,K417*'[3]Base Costs'!$B$8,IF(L417&lt;=3,L417*'[3]Base Costs'!$B$9,'[3]Base Costs'!$B$10*M417))</f>
        <v>2800</v>
      </c>
      <c r="P417" s="252">
        <f>4*C417*'[3]Base Costs'!$B$11</f>
        <v>32983.85745021997</v>
      </c>
      <c r="Q417">
        <f>'[3]Base Costs'!$B$13+'[3]Base Costs'!$B$14</f>
        <v>414</v>
      </c>
      <c r="R417" s="239">
        <f>'[3]Base Costs'!$D$2</f>
        <v>1105.3024868650327</v>
      </c>
      <c r="S417" s="254">
        <f t="shared" si="48"/>
        <v>12644.589068524914</v>
      </c>
    </row>
    <row r="418" spans="1:19" x14ac:dyDescent="0.25">
      <c r="A418" s="248" t="s">
        <v>1004</v>
      </c>
      <c r="B418" s="248" t="s">
        <v>921</v>
      </c>
      <c r="C418" s="249">
        <v>83.256593440000003</v>
      </c>
      <c r="D418" s="250">
        <f>C418*'[3]Base Costs'!$B$5</f>
        <v>83.256593440000003</v>
      </c>
      <c r="E418" s="250">
        <f t="shared" si="42"/>
        <v>11</v>
      </c>
      <c r="F418" s="250">
        <f t="shared" si="43"/>
        <v>3</v>
      </c>
      <c r="G418" s="250">
        <f t="shared" si="44"/>
        <v>1</v>
      </c>
      <c r="H418" s="251">
        <f>4*D418*'[3]Base Costs'!$B$7</f>
        <v>16546.748406639363</v>
      </c>
      <c r="I418" s="252">
        <f>4*IF(E418&lt;=3,E418*'[3]Base Costs'!$B$8,IF(F418&lt;=3,F418*'[3]Base Costs'!$B$9,'[3]Base Costs'!$B$10*G418))</f>
        <v>4200</v>
      </c>
      <c r="J418" s="253">
        <f>C418*'[3]Base Costs'!$B$6</f>
        <v>21.14717473376</v>
      </c>
      <c r="K418" s="250">
        <f t="shared" si="45"/>
        <v>3</v>
      </c>
      <c r="L418" s="250">
        <f t="shared" si="46"/>
        <v>1</v>
      </c>
      <c r="M418" s="250">
        <f t="shared" si="47"/>
        <v>1</v>
      </c>
      <c r="N418" s="251">
        <f>4*J418*'[3]Base Costs'!$B$7</f>
        <v>4202.8740952863982</v>
      </c>
      <c r="O418" s="252">
        <f>4*IF(K418&lt;=3,K418*'[3]Base Costs'!$B$8,IF(L418&lt;=3,L418*'[3]Base Costs'!$B$9,'[3]Base Costs'!$B$10*M418))</f>
        <v>1500</v>
      </c>
      <c r="P418" s="252">
        <f>4*C418*'[3]Base Costs'!$B$11</f>
        <v>16651.318687999999</v>
      </c>
      <c r="Q418">
        <f>'[3]Base Costs'!$B$13+'[3]Base Costs'!$B$14</f>
        <v>414</v>
      </c>
      <c r="R418" s="239">
        <f>'[3]Base Costs'!$D$2</f>
        <v>1105.3024868650327</v>
      </c>
      <c r="S418" s="254">
        <f t="shared" si="48"/>
        <v>7222.1765821514309</v>
      </c>
    </row>
    <row r="419" spans="1:19" x14ac:dyDescent="0.25">
      <c r="A419" s="248" t="s">
        <v>1004</v>
      </c>
      <c r="B419" s="248" t="s">
        <v>922</v>
      </c>
      <c r="C419" s="249">
        <v>164.49962688673529</v>
      </c>
      <c r="D419" s="250">
        <f>C419*'[3]Base Costs'!$B$5</f>
        <v>164.49962688673529</v>
      </c>
      <c r="E419" s="250">
        <f t="shared" si="42"/>
        <v>21</v>
      </c>
      <c r="F419" s="250">
        <f t="shared" si="43"/>
        <v>5</v>
      </c>
      <c r="G419" s="250">
        <f t="shared" si="44"/>
        <v>2</v>
      </c>
      <c r="H419" s="251">
        <f>4*D419*'[3]Base Costs'!$B$7</f>
        <v>32693.313845977322</v>
      </c>
      <c r="I419" s="252">
        <f>4*IF(E419&lt;=3,E419*'[3]Base Costs'!$B$8,IF(F419&lt;=3,F419*'[3]Base Costs'!$B$9,'[3]Base Costs'!$B$10*G419))</f>
        <v>8800</v>
      </c>
      <c r="J419" s="253">
        <f>C419*'[3]Base Costs'!$B$6</f>
        <v>41.782905229230764</v>
      </c>
      <c r="K419" s="250">
        <f t="shared" si="45"/>
        <v>6</v>
      </c>
      <c r="L419" s="250">
        <f t="shared" si="46"/>
        <v>2</v>
      </c>
      <c r="M419" s="250">
        <f t="shared" si="47"/>
        <v>1</v>
      </c>
      <c r="N419" s="251">
        <f>4*J419*'[3]Base Costs'!$B$7</f>
        <v>8304.10171687824</v>
      </c>
      <c r="O419" s="252">
        <f>4*IF(K419&lt;=3,K419*'[3]Base Costs'!$B$8,IF(L419&lt;=3,L419*'[3]Base Costs'!$B$9,'[3]Base Costs'!$B$10*M419))</f>
        <v>2800</v>
      </c>
      <c r="P419" s="252">
        <f>4*C419*'[3]Base Costs'!$B$11</f>
        <v>32899.925377347055</v>
      </c>
      <c r="Q419">
        <f>'[3]Base Costs'!$B$13+'[3]Base Costs'!$B$14</f>
        <v>414</v>
      </c>
      <c r="R419" s="239">
        <f>'[3]Base Costs'!$D$2</f>
        <v>1105.3024868650327</v>
      </c>
      <c r="S419" s="254">
        <f t="shared" si="48"/>
        <v>12623.404203743274</v>
      </c>
    </row>
    <row r="420" spans="1:19" x14ac:dyDescent="0.25">
      <c r="A420" s="248" t="s">
        <v>1004</v>
      </c>
      <c r="B420" s="248" t="s">
        <v>923</v>
      </c>
      <c r="C420" s="249">
        <v>48.552871939987305</v>
      </c>
      <c r="D420" s="250">
        <f>C420*'[3]Base Costs'!$B$5</f>
        <v>48.552871939987305</v>
      </c>
      <c r="E420" s="250">
        <f t="shared" si="42"/>
        <v>7</v>
      </c>
      <c r="F420" s="250">
        <f t="shared" si="43"/>
        <v>2</v>
      </c>
      <c r="G420" s="250">
        <f t="shared" si="44"/>
        <v>1</v>
      </c>
      <c r="H420" s="251">
        <f>4*D420*'[3]Base Costs'!$B$7</f>
        <v>9649.591980840838</v>
      </c>
      <c r="I420" s="252">
        <f>4*IF(E420&lt;=3,E420*'[3]Base Costs'!$B$8,IF(F420&lt;=3,F420*'[3]Base Costs'!$B$9,'[3]Base Costs'!$B$10*G420))</f>
        <v>2800</v>
      </c>
      <c r="J420" s="253">
        <f>C420*'[3]Base Costs'!$B$6</f>
        <v>12.332429472756775</v>
      </c>
      <c r="K420" s="250">
        <f t="shared" si="45"/>
        <v>2</v>
      </c>
      <c r="L420" s="250">
        <f t="shared" si="46"/>
        <v>1</v>
      </c>
      <c r="M420" s="250">
        <f t="shared" si="47"/>
        <v>1</v>
      </c>
      <c r="N420" s="251">
        <f>4*J420*'[3]Base Costs'!$B$7</f>
        <v>2450.9963631335727</v>
      </c>
      <c r="O420" s="252">
        <f>4*IF(K420&lt;=3,K420*'[3]Base Costs'!$B$8,IF(L420&lt;=3,L420*'[3]Base Costs'!$B$9,'[3]Base Costs'!$B$10*M420))</f>
        <v>1000</v>
      </c>
      <c r="P420" s="252">
        <f>4*C420*'[3]Base Costs'!$B$11</f>
        <v>9710.5743879974616</v>
      </c>
      <c r="Q420">
        <f>'[3]Base Costs'!$B$13+'[3]Base Costs'!$B$14</f>
        <v>414</v>
      </c>
      <c r="R420" s="239">
        <f>'[3]Base Costs'!$D$2</f>
        <v>1105.3024868650327</v>
      </c>
      <c r="S420" s="254">
        <f t="shared" si="48"/>
        <v>4970.2988499986059</v>
      </c>
    </row>
    <row r="421" spans="1:19" x14ac:dyDescent="0.25">
      <c r="A421" s="248" t="s">
        <v>1004</v>
      </c>
      <c r="B421" s="248" t="s">
        <v>1008</v>
      </c>
      <c r="C421" s="249">
        <v>66.099993827022672</v>
      </c>
      <c r="D421" s="250">
        <f>C421*'[3]Base Costs'!$B$5</f>
        <v>66.099993827022672</v>
      </c>
      <c r="E421" s="250">
        <f t="shared" si="42"/>
        <v>9</v>
      </c>
      <c r="F421" s="250">
        <f t="shared" si="43"/>
        <v>2</v>
      </c>
      <c r="G421" s="250">
        <f t="shared" si="44"/>
        <v>1</v>
      </c>
      <c r="H421" s="251">
        <f>4*D421*'[3]Base Costs'!$B$7</f>
        <v>13136.977173157797</v>
      </c>
      <c r="I421" s="252">
        <f>4*IF(E421&lt;=3,E421*'[3]Base Costs'!$B$8,IF(F421&lt;=3,F421*'[3]Base Costs'!$B$9,'[3]Base Costs'!$B$10*G421))</f>
        <v>2800</v>
      </c>
      <c r="J421" s="253">
        <f>C421*'[3]Base Costs'!$B$6</f>
        <v>16.789398432063759</v>
      </c>
      <c r="K421" s="250">
        <f t="shared" si="45"/>
        <v>3</v>
      </c>
      <c r="L421" s="250">
        <f t="shared" si="46"/>
        <v>1</v>
      </c>
      <c r="M421" s="250">
        <f t="shared" si="47"/>
        <v>1</v>
      </c>
      <c r="N421" s="251">
        <f>4*J421*'[3]Base Costs'!$B$7</f>
        <v>3336.7922019820803</v>
      </c>
      <c r="O421" s="252">
        <f>4*IF(K421&lt;=3,K421*'[3]Base Costs'!$B$8,IF(L421&lt;=3,L421*'[3]Base Costs'!$B$9,'[3]Base Costs'!$B$10*M421))</f>
        <v>1500</v>
      </c>
      <c r="P421" s="252">
        <f>4*C421*'[3]Base Costs'!$B$11</f>
        <v>13219.998765404534</v>
      </c>
      <c r="Q421">
        <f>'[3]Base Costs'!$B$13+'[3]Base Costs'!$B$14</f>
        <v>414</v>
      </c>
      <c r="R421" s="239">
        <f>'[3]Base Costs'!$D$2</f>
        <v>1105.3024868650327</v>
      </c>
      <c r="S421" s="254">
        <f t="shared" si="48"/>
        <v>6356.0946888471135</v>
      </c>
    </row>
    <row r="422" spans="1:19" x14ac:dyDescent="0.25">
      <c r="A422" s="248" t="s">
        <v>1004</v>
      </c>
      <c r="B422" s="248" t="s">
        <v>924</v>
      </c>
      <c r="C422" s="249">
        <v>407.12826456591426</v>
      </c>
      <c r="D422" s="250">
        <f>C422*'[3]Base Costs'!$B$5</f>
        <v>407.12826456591426</v>
      </c>
      <c r="E422" s="250">
        <f t="shared" si="42"/>
        <v>51</v>
      </c>
      <c r="F422" s="250">
        <f t="shared" si="43"/>
        <v>11</v>
      </c>
      <c r="G422" s="250">
        <f t="shared" si="44"/>
        <v>3</v>
      </c>
      <c r="H422" s="251">
        <f>4*D422*'[3]Base Costs'!$B$7</f>
        <v>80914.299812888072</v>
      </c>
      <c r="I422" s="252">
        <f>4*IF(E422&lt;=3,E422*'[3]Base Costs'!$B$8,IF(F422&lt;=3,F422*'[3]Base Costs'!$B$9,'[3]Base Costs'!$B$10*G422))</f>
        <v>13200</v>
      </c>
      <c r="J422" s="253">
        <f>C422*'[3]Base Costs'!$B$6</f>
        <v>103.41057919974223</v>
      </c>
      <c r="K422" s="250">
        <f t="shared" si="45"/>
        <v>13</v>
      </c>
      <c r="L422" s="250">
        <f t="shared" si="46"/>
        <v>3</v>
      </c>
      <c r="M422" s="250">
        <f t="shared" si="47"/>
        <v>1</v>
      </c>
      <c r="N422" s="251">
        <f>4*J422*'[3]Base Costs'!$B$7</f>
        <v>20552.232152473574</v>
      </c>
      <c r="O422" s="252">
        <f>4*IF(K422&lt;=3,K422*'[3]Base Costs'!$B$8,IF(L422&lt;=3,L422*'[3]Base Costs'!$B$9,'[3]Base Costs'!$B$10*M422))</f>
        <v>4200</v>
      </c>
      <c r="P422" s="252">
        <f>4*C422*'[3]Base Costs'!$B$11</f>
        <v>81425.652913182857</v>
      </c>
      <c r="Q422">
        <f>'[3]Base Costs'!$B$13+'[3]Base Costs'!$B$14</f>
        <v>414</v>
      </c>
      <c r="R422" s="239">
        <f>'[3]Base Costs'!$D$2</f>
        <v>1105.3024868650327</v>
      </c>
      <c r="S422" s="254">
        <f t="shared" si="48"/>
        <v>26271.534639338606</v>
      </c>
    </row>
    <row r="423" spans="1:19" x14ac:dyDescent="0.25">
      <c r="A423" s="248" t="s">
        <v>1004</v>
      </c>
      <c r="B423" s="248" t="s">
        <v>925</v>
      </c>
      <c r="C423" s="249">
        <v>181.12060026521237</v>
      </c>
      <c r="D423" s="250">
        <f>C423*'[3]Base Costs'!$B$5</f>
        <v>181.12060026521237</v>
      </c>
      <c r="E423" s="250">
        <f t="shared" si="42"/>
        <v>23</v>
      </c>
      <c r="F423" s="250">
        <f t="shared" si="43"/>
        <v>5</v>
      </c>
      <c r="G423" s="250">
        <f t="shared" si="44"/>
        <v>2</v>
      </c>
      <c r="H423" s="251">
        <f>4*D423*'[3]Base Costs'!$B$7</f>
        <v>35996.632579109377</v>
      </c>
      <c r="I423" s="252">
        <f>4*IF(E423&lt;=3,E423*'[3]Base Costs'!$B$8,IF(F423&lt;=3,F423*'[3]Base Costs'!$B$9,'[3]Base Costs'!$B$10*G423))</f>
        <v>8800</v>
      </c>
      <c r="J423" s="253">
        <f>C423*'[3]Base Costs'!$B$6</f>
        <v>46.00463246736394</v>
      </c>
      <c r="K423" s="250">
        <f t="shared" si="45"/>
        <v>6</v>
      </c>
      <c r="L423" s="250">
        <f t="shared" si="46"/>
        <v>2</v>
      </c>
      <c r="M423" s="250">
        <f t="shared" si="47"/>
        <v>1</v>
      </c>
      <c r="N423" s="251">
        <f>4*J423*'[3]Base Costs'!$B$7</f>
        <v>9143.1446750937794</v>
      </c>
      <c r="O423" s="252">
        <f>4*IF(K423&lt;=3,K423*'[3]Base Costs'!$B$8,IF(L423&lt;=3,L423*'[3]Base Costs'!$B$9,'[3]Base Costs'!$B$10*M423))</f>
        <v>2800</v>
      </c>
      <c r="P423" s="252">
        <f>4*C423*'[3]Base Costs'!$B$11</f>
        <v>36224.120053042476</v>
      </c>
      <c r="Q423">
        <f>'[3]Base Costs'!$B$13+'[3]Base Costs'!$B$14</f>
        <v>414</v>
      </c>
      <c r="R423" s="239">
        <f>'[3]Base Costs'!$D$2</f>
        <v>1105.3024868650327</v>
      </c>
      <c r="S423" s="254">
        <f t="shared" si="48"/>
        <v>13462.447161958811</v>
      </c>
    </row>
    <row r="424" spans="1:19" x14ac:dyDescent="0.25">
      <c r="A424" s="248" t="s">
        <v>1004</v>
      </c>
      <c r="B424" s="248" t="s">
        <v>926</v>
      </c>
      <c r="C424" s="249">
        <v>42.999976575000005</v>
      </c>
      <c r="D424" s="250">
        <f>C424*'[3]Base Costs'!$B$5</f>
        <v>42.999976575000005</v>
      </c>
      <c r="E424" s="250">
        <f t="shared" si="42"/>
        <v>6</v>
      </c>
      <c r="F424" s="250">
        <f t="shared" si="43"/>
        <v>2</v>
      </c>
      <c r="G424" s="250">
        <f t="shared" si="44"/>
        <v>1</v>
      </c>
      <c r="H424" s="251">
        <f>4*D424*'[3]Base Costs'!$B$7</f>
        <v>8545.9873444218028</v>
      </c>
      <c r="I424" s="252">
        <f>4*IF(E424&lt;=3,E424*'[3]Base Costs'!$B$8,IF(F424&lt;=3,F424*'[3]Base Costs'!$B$9,'[3]Base Costs'!$B$10*G424))</f>
        <v>2800</v>
      </c>
      <c r="J424" s="253">
        <f>C424*'[3]Base Costs'!$B$6</f>
        <v>10.921994050050001</v>
      </c>
      <c r="K424" s="250">
        <f t="shared" si="45"/>
        <v>2</v>
      </c>
      <c r="L424" s="250">
        <f t="shared" si="46"/>
        <v>1</v>
      </c>
      <c r="M424" s="250">
        <f t="shared" si="47"/>
        <v>1</v>
      </c>
      <c r="N424" s="251">
        <f>4*J424*'[3]Base Costs'!$B$7</f>
        <v>2170.6807854831377</v>
      </c>
      <c r="O424" s="252">
        <f>4*IF(K424&lt;=3,K424*'[3]Base Costs'!$B$8,IF(L424&lt;=3,L424*'[3]Base Costs'!$B$9,'[3]Base Costs'!$B$10*M424))</f>
        <v>1000</v>
      </c>
      <c r="P424" s="252">
        <f>4*C424*'[3]Base Costs'!$B$11</f>
        <v>8599.9953150000001</v>
      </c>
      <c r="Q424">
        <f>'[3]Base Costs'!$B$13+'[3]Base Costs'!$B$14</f>
        <v>414</v>
      </c>
      <c r="R424" s="239">
        <f>'[3]Base Costs'!$D$2</f>
        <v>1105.3024868650327</v>
      </c>
      <c r="S424" s="254">
        <f t="shared" si="48"/>
        <v>4689.9832723481704</v>
      </c>
    </row>
    <row r="425" spans="1:19" x14ac:dyDescent="0.25">
      <c r="A425" s="248" t="s">
        <v>1004</v>
      </c>
      <c r="B425" s="248" t="s">
        <v>927</v>
      </c>
      <c r="C425" s="249">
        <v>94.400781835000004</v>
      </c>
      <c r="D425" s="250">
        <f>C425*'[3]Base Costs'!$B$5</f>
        <v>94.400781835000004</v>
      </c>
      <c r="E425" s="250">
        <f t="shared" si="42"/>
        <v>12</v>
      </c>
      <c r="F425" s="250">
        <f t="shared" si="43"/>
        <v>3</v>
      </c>
      <c r="G425" s="250">
        <f t="shared" si="44"/>
        <v>1</v>
      </c>
      <c r="H425" s="251">
        <f>4*D425*'[3]Base Costs'!$B$7</f>
        <v>18761.588985015242</v>
      </c>
      <c r="I425" s="252">
        <f>4*IF(E425&lt;=3,E425*'[3]Base Costs'!$B$8,IF(F425&lt;=3,F425*'[3]Base Costs'!$B$9,'[3]Base Costs'!$B$10*G425))</f>
        <v>4200</v>
      </c>
      <c r="J425" s="253">
        <f>C425*'[3]Base Costs'!$B$6</f>
        <v>23.97779858609</v>
      </c>
      <c r="K425" s="250">
        <f t="shared" si="45"/>
        <v>3</v>
      </c>
      <c r="L425" s="250">
        <f t="shared" si="46"/>
        <v>1</v>
      </c>
      <c r="M425" s="250">
        <f t="shared" si="47"/>
        <v>1</v>
      </c>
      <c r="N425" s="251">
        <f>4*J425*'[3]Base Costs'!$B$7</f>
        <v>4765.4436021938718</v>
      </c>
      <c r="O425" s="252">
        <f>4*IF(K425&lt;=3,K425*'[3]Base Costs'!$B$8,IF(L425&lt;=3,L425*'[3]Base Costs'!$B$9,'[3]Base Costs'!$B$10*M425))</f>
        <v>1500</v>
      </c>
      <c r="P425" s="252">
        <f>4*C425*'[3]Base Costs'!$B$11</f>
        <v>18880.156367</v>
      </c>
      <c r="Q425">
        <f>'[3]Base Costs'!$B$13+'[3]Base Costs'!$B$14</f>
        <v>414</v>
      </c>
      <c r="R425" s="239">
        <f>'[3]Base Costs'!$D$2</f>
        <v>1105.3024868650327</v>
      </c>
      <c r="S425" s="254">
        <f t="shared" si="48"/>
        <v>7784.7460890589045</v>
      </c>
    </row>
    <row r="426" spans="1:19" x14ac:dyDescent="0.25">
      <c r="A426" s="248" t="s">
        <v>1004</v>
      </c>
      <c r="B426" s="248" t="s">
        <v>928</v>
      </c>
      <c r="C426" s="249">
        <v>173.58868725658795</v>
      </c>
      <c r="D426" s="250">
        <f>C426*'[3]Base Costs'!$B$5</f>
        <v>173.58868725658795</v>
      </c>
      <c r="E426" s="250">
        <f t="shared" si="42"/>
        <v>22</v>
      </c>
      <c r="F426" s="250">
        <f t="shared" si="43"/>
        <v>5</v>
      </c>
      <c r="G426" s="250">
        <f t="shared" si="44"/>
        <v>2</v>
      </c>
      <c r="H426" s="251">
        <f>4*D426*'[3]Base Costs'!$B$7</f>
        <v>34499.710060123318</v>
      </c>
      <c r="I426" s="252">
        <f>4*IF(E426&lt;=3,E426*'[3]Base Costs'!$B$8,IF(F426&lt;=3,F426*'[3]Base Costs'!$B$9,'[3]Base Costs'!$B$10*G426))</f>
        <v>8800</v>
      </c>
      <c r="J426" s="253">
        <f>C426*'[3]Base Costs'!$B$6</f>
        <v>44.091526563173339</v>
      </c>
      <c r="K426" s="250">
        <f t="shared" si="45"/>
        <v>6</v>
      </c>
      <c r="L426" s="250">
        <f t="shared" si="46"/>
        <v>2</v>
      </c>
      <c r="M426" s="250">
        <f t="shared" si="47"/>
        <v>1</v>
      </c>
      <c r="N426" s="251">
        <f>4*J426*'[3]Base Costs'!$B$7</f>
        <v>8762.9263552713237</v>
      </c>
      <c r="O426" s="252">
        <f>4*IF(K426&lt;=3,K426*'[3]Base Costs'!$B$8,IF(L426&lt;=3,L426*'[3]Base Costs'!$B$9,'[3]Base Costs'!$B$10*M426))</f>
        <v>2800</v>
      </c>
      <c r="P426" s="252">
        <f>4*C426*'[3]Base Costs'!$B$11</f>
        <v>34717.737451317589</v>
      </c>
      <c r="Q426">
        <f>'[3]Base Costs'!$B$13+'[3]Base Costs'!$B$14</f>
        <v>414</v>
      </c>
      <c r="R426" s="239">
        <f>'[3]Base Costs'!$D$2</f>
        <v>1105.3024868650327</v>
      </c>
      <c r="S426" s="254">
        <f t="shared" si="48"/>
        <v>13082.228842136356</v>
      </c>
    </row>
    <row r="427" spans="1:19" x14ac:dyDescent="0.25">
      <c r="A427" s="248" t="s">
        <v>1004</v>
      </c>
      <c r="B427" s="248" t="s">
        <v>929</v>
      </c>
      <c r="C427" s="249">
        <v>67.099633015000009</v>
      </c>
      <c r="D427" s="250">
        <f>C427*'[3]Base Costs'!$B$5</f>
        <v>67.099633015000009</v>
      </c>
      <c r="E427" s="250">
        <f t="shared" si="42"/>
        <v>9</v>
      </c>
      <c r="F427" s="250">
        <f t="shared" si="43"/>
        <v>2</v>
      </c>
      <c r="G427" s="250">
        <f t="shared" si="44"/>
        <v>1</v>
      </c>
      <c r="H427" s="251">
        <f>4*D427*'[3]Base Costs'!$B$7</f>
        <v>13335.649463933163</v>
      </c>
      <c r="I427" s="252">
        <f>4*IF(E427&lt;=3,E427*'[3]Base Costs'!$B$8,IF(F427&lt;=3,F427*'[3]Base Costs'!$B$9,'[3]Base Costs'!$B$10*G427))</f>
        <v>2800</v>
      </c>
      <c r="J427" s="253">
        <f>C427*'[3]Base Costs'!$B$6</f>
        <v>17.043306785810003</v>
      </c>
      <c r="K427" s="250">
        <f t="shared" si="45"/>
        <v>3</v>
      </c>
      <c r="L427" s="250">
        <f t="shared" si="46"/>
        <v>1</v>
      </c>
      <c r="M427" s="250">
        <f t="shared" si="47"/>
        <v>1</v>
      </c>
      <c r="N427" s="251">
        <f>4*J427*'[3]Base Costs'!$B$7</f>
        <v>3387.2549638390237</v>
      </c>
      <c r="O427" s="252">
        <f>4*IF(K427&lt;=3,K427*'[3]Base Costs'!$B$8,IF(L427&lt;=3,L427*'[3]Base Costs'!$B$9,'[3]Base Costs'!$B$10*M427))</f>
        <v>1500</v>
      </c>
      <c r="P427" s="252">
        <f>4*C427*'[3]Base Costs'!$B$11</f>
        <v>13419.926603000002</v>
      </c>
      <c r="Q427">
        <f>'[3]Base Costs'!$B$13+'[3]Base Costs'!$B$14</f>
        <v>414</v>
      </c>
      <c r="R427" s="239">
        <f>'[3]Base Costs'!$D$2</f>
        <v>1105.3024868650327</v>
      </c>
      <c r="S427" s="254">
        <f t="shared" si="48"/>
        <v>6406.5574507040565</v>
      </c>
    </row>
    <row r="428" spans="1:19" x14ac:dyDescent="0.25">
      <c r="A428" s="248" t="s">
        <v>1004</v>
      </c>
      <c r="B428" s="248" t="s">
        <v>930</v>
      </c>
      <c r="C428" s="249">
        <v>178.90154895000001</v>
      </c>
      <c r="D428" s="250">
        <f>C428*'[3]Base Costs'!$B$5</f>
        <v>178.90154895000001</v>
      </c>
      <c r="E428" s="250">
        <f t="shared" si="42"/>
        <v>23</v>
      </c>
      <c r="F428" s="250">
        <f t="shared" si="43"/>
        <v>5</v>
      </c>
      <c r="G428" s="250">
        <f t="shared" si="44"/>
        <v>2</v>
      </c>
      <c r="H428" s="251">
        <f>4*D428*'[3]Base Costs'!$B$7</f>
        <v>35555.609444518806</v>
      </c>
      <c r="I428" s="252">
        <f>4*IF(E428&lt;=3,E428*'[3]Base Costs'!$B$8,IF(F428&lt;=3,F428*'[3]Base Costs'!$B$9,'[3]Base Costs'!$B$10*G428))</f>
        <v>8800</v>
      </c>
      <c r="J428" s="253">
        <f>C428*'[3]Base Costs'!$B$6</f>
        <v>45.440993433300001</v>
      </c>
      <c r="K428" s="250">
        <f t="shared" si="45"/>
        <v>6</v>
      </c>
      <c r="L428" s="250">
        <f t="shared" si="46"/>
        <v>2</v>
      </c>
      <c r="M428" s="250">
        <f t="shared" si="47"/>
        <v>1</v>
      </c>
      <c r="N428" s="251">
        <f>4*J428*'[3]Base Costs'!$B$7</f>
        <v>9031.1247989077765</v>
      </c>
      <c r="O428" s="252">
        <f>4*IF(K428&lt;=3,K428*'[3]Base Costs'!$B$8,IF(L428&lt;=3,L428*'[3]Base Costs'!$B$9,'[3]Base Costs'!$B$10*M428))</f>
        <v>2800</v>
      </c>
      <c r="P428" s="252">
        <f>4*C428*'[3]Base Costs'!$B$11</f>
        <v>35780.309789999999</v>
      </c>
      <c r="Q428">
        <f>'[3]Base Costs'!$B$13+'[3]Base Costs'!$B$14</f>
        <v>414</v>
      </c>
      <c r="R428" s="239">
        <f>'[3]Base Costs'!$D$2</f>
        <v>1105.3024868650327</v>
      </c>
      <c r="S428" s="254">
        <f t="shared" si="48"/>
        <v>13350.42728577281</v>
      </c>
    </row>
    <row r="429" spans="1:19" x14ac:dyDescent="0.25">
      <c r="A429" s="248" t="s">
        <v>1004</v>
      </c>
      <c r="B429" s="248" t="s">
        <v>931</v>
      </c>
      <c r="C429" s="249">
        <v>158.87435341789035</v>
      </c>
      <c r="D429" s="250">
        <f>C429*'[3]Base Costs'!$B$5</f>
        <v>158.87435341789035</v>
      </c>
      <c r="E429" s="250">
        <f t="shared" si="42"/>
        <v>20</v>
      </c>
      <c r="F429" s="250">
        <f t="shared" si="43"/>
        <v>4</v>
      </c>
      <c r="G429" s="250">
        <f t="shared" si="44"/>
        <v>1</v>
      </c>
      <c r="H429" s="251">
        <f>4*D429*'[3]Base Costs'!$B$7</f>
        <v>31575.324495685203</v>
      </c>
      <c r="I429" s="252">
        <f>4*IF(E429&lt;=3,E429*'[3]Base Costs'!$B$8,IF(F429&lt;=3,F429*'[3]Base Costs'!$B$9,'[3]Base Costs'!$B$10*G429))</f>
        <v>4400</v>
      </c>
      <c r="J429" s="253">
        <f>C429*'[3]Base Costs'!$B$6</f>
        <v>40.354085768144152</v>
      </c>
      <c r="K429" s="250">
        <f t="shared" si="45"/>
        <v>6</v>
      </c>
      <c r="L429" s="250">
        <f t="shared" si="46"/>
        <v>2</v>
      </c>
      <c r="M429" s="250">
        <f t="shared" si="47"/>
        <v>1</v>
      </c>
      <c r="N429" s="251">
        <f>4*J429*'[3]Base Costs'!$B$7</f>
        <v>8020.1324219040425</v>
      </c>
      <c r="O429" s="252">
        <f>4*IF(K429&lt;=3,K429*'[3]Base Costs'!$B$8,IF(L429&lt;=3,L429*'[3]Base Costs'!$B$9,'[3]Base Costs'!$B$10*M429))</f>
        <v>2800</v>
      </c>
      <c r="P429" s="252">
        <f>4*C429*'[3]Base Costs'!$B$11</f>
        <v>31774.870683578069</v>
      </c>
      <c r="Q429">
        <f>'[3]Base Costs'!$B$13+'[3]Base Costs'!$B$14</f>
        <v>414</v>
      </c>
      <c r="R429" s="239">
        <f>'[3]Base Costs'!$D$2</f>
        <v>1105.3024868650327</v>
      </c>
      <c r="S429" s="254">
        <f t="shared" si="48"/>
        <v>12339.434908769075</v>
      </c>
    </row>
    <row r="430" spans="1:19" x14ac:dyDescent="0.25">
      <c r="A430" s="248" t="s">
        <v>1004</v>
      </c>
      <c r="B430" s="248" t="s">
        <v>932</v>
      </c>
      <c r="C430" s="249">
        <v>40.5625</v>
      </c>
      <c r="D430" s="250">
        <f>C430*'[3]Base Costs'!$B$5</f>
        <v>40.5625</v>
      </c>
      <c r="E430" s="250">
        <f t="shared" si="42"/>
        <v>6</v>
      </c>
      <c r="F430" s="250">
        <f t="shared" si="43"/>
        <v>2</v>
      </c>
      <c r="G430" s="250">
        <f t="shared" si="44"/>
        <v>1</v>
      </c>
      <c r="H430" s="251">
        <f>4*D430*'[3]Base Costs'!$B$7</f>
        <v>8061.5535000000009</v>
      </c>
      <c r="I430" s="252">
        <f>4*IF(E430&lt;=3,E430*'[3]Base Costs'!$B$8,IF(F430&lt;=3,F430*'[3]Base Costs'!$B$9,'[3]Base Costs'!$B$10*G430))</f>
        <v>2800</v>
      </c>
      <c r="J430" s="253">
        <f>C430*'[3]Base Costs'!$B$6</f>
        <v>10.302875</v>
      </c>
      <c r="K430" s="250">
        <f t="shared" si="45"/>
        <v>2</v>
      </c>
      <c r="L430" s="250">
        <f t="shared" si="46"/>
        <v>1</v>
      </c>
      <c r="M430" s="250">
        <f t="shared" si="47"/>
        <v>1</v>
      </c>
      <c r="N430" s="251">
        <f>4*J430*'[3]Base Costs'!$B$7</f>
        <v>2047.6345890000002</v>
      </c>
      <c r="O430" s="252">
        <f>4*IF(K430&lt;=3,K430*'[3]Base Costs'!$B$8,IF(L430&lt;=3,L430*'[3]Base Costs'!$B$9,'[3]Base Costs'!$B$10*M430))</f>
        <v>1000</v>
      </c>
      <c r="P430" s="252">
        <f>4*C430*'[3]Base Costs'!$B$11</f>
        <v>8112.5</v>
      </c>
      <c r="Q430">
        <f>'[3]Base Costs'!$B$13+'[3]Base Costs'!$B$14</f>
        <v>414</v>
      </c>
      <c r="R430" s="239">
        <f>'[3]Base Costs'!$D$2</f>
        <v>1105.3024868650327</v>
      </c>
      <c r="S430" s="254">
        <f t="shared" si="48"/>
        <v>4566.937075865033</v>
      </c>
    </row>
    <row r="431" spans="1:19" x14ac:dyDescent="0.25">
      <c r="A431" s="248" t="s">
        <v>1004</v>
      </c>
      <c r="B431" s="248" t="s">
        <v>933</v>
      </c>
      <c r="C431" s="249">
        <v>97.77761715318502</v>
      </c>
      <c r="D431" s="250">
        <f>C431*'[3]Base Costs'!$B$5</f>
        <v>97.77761715318502</v>
      </c>
      <c r="E431" s="250">
        <f t="shared" si="42"/>
        <v>13</v>
      </c>
      <c r="F431" s="250">
        <f t="shared" si="43"/>
        <v>3</v>
      </c>
      <c r="G431" s="250">
        <f t="shared" si="44"/>
        <v>1</v>
      </c>
      <c r="H431" s="251">
        <f>4*D431*'[3]Base Costs'!$B$7</f>
        <v>19432.714743492605</v>
      </c>
      <c r="I431" s="252">
        <f>4*IF(E431&lt;=3,E431*'[3]Base Costs'!$B$8,IF(F431&lt;=3,F431*'[3]Base Costs'!$B$9,'[3]Base Costs'!$B$10*G431))</f>
        <v>4200</v>
      </c>
      <c r="J431" s="253">
        <f>C431*'[3]Base Costs'!$B$6</f>
        <v>24.835514756908996</v>
      </c>
      <c r="K431" s="250">
        <f t="shared" si="45"/>
        <v>4</v>
      </c>
      <c r="L431" s="250">
        <f t="shared" si="46"/>
        <v>1</v>
      </c>
      <c r="M431" s="250">
        <f t="shared" si="47"/>
        <v>1</v>
      </c>
      <c r="N431" s="251">
        <f>4*J431*'[3]Base Costs'!$B$7</f>
        <v>4935.9095448471226</v>
      </c>
      <c r="O431" s="252">
        <f>4*IF(K431&lt;=3,K431*'[3]Base Costs'!$B$8,IF(L431&lt;=3,L431*'[3]Base Costs'!$B$9,'[3]Base Costs'!$B$10*M431))</f>
        <v>1400</v>
      </c>
      <c r="P431" s="252">
        <f>4*C431*'[3]Base Costs'!$B$11</f>
        <v>19555.523430637004</v>
      </c>
      <c r="Q431">
        <f>'[3]Base Costs'!$B$13+'[3]Base Costs'!$B$14</f>
        <v>414</v>
      </c>
      <c r="R431" s="239">
        <f>'[3]Base Costs'!$D$2</f>
        <v>1105.3024868650327</v>
      </c>
      <c r="S431" s="254">
        <f t="shared" si="48"/>
        <v>7855.2120317121553</v>
      </c>
    </row>
    <row r="432" spans="1:19" x14ac:dyDescent="0.25">
      <c r="A432" s="248" t="s">
        <v>1004</v>
      </c>
      <c r="B432" s="248" t="s">
        <v>934</v>
      </c>
      <c r="C432" s="249">
        <v>83.467340584756087</v>
      </c>
      <c r="D432" s="250">
        <f>C432*'[3]Base Costs'!$B$5</f>
        <v>83.467340584756087</v>
      </c>
      <c r="E432" s="250">
        <f t="shared" si="42"/>
        <v>11</v>
      </c>
      <c r="F432" s="250">
        <f t="shared" si="43"/>
        <v>3</v>
      </c>
      <c r="G432" s="250">
        <f t="shared" si="44"/>
        <v>1</v>
      </c>
      <c r="H432" s="251">
        <f>4*D432*'[3]Base Costs'!$B$7</f>
        <v>16588.633137176766</v>
      </c>
      <c r="I432" s="252">
        <f>4*IF(E432&lt;=3,E432*'[3]Base Costs'!$B$8,IF(F432&lt;=3,F432*'[3]Base Costs'!$B$9,'[3]Base Costs'!$B$10*G432))</f>
        <v>4200</v>
      </c>
      <c r="J432" s="253">
        <f>C432*'[3]Base Costs'!$B$6</f>
        <v>21.200704508528048</v>
      </c>
      <c r="K432" s="250">
        <f t="shared" si="45"/>
        <v>3</v>
      </c>
      <c r="L432" s="250">
        <f t="shared" si="46"/>
        <v>1</v>
      </c>
      <c r="M432" s="250">
        <f t="shared" si="47"/>
        <v>1</v>
      </c>
      <c r="N432" s="251">
        <f>4*J432*'[3]Base Costs'!$B$7</f>
        <v>4213.5128168428992</v>
      </c>
      <c r="O432" s="252">
        <f>4*IF(K432&lt;=3,K432*'[3]Base Costs'!$B$8,IF(L432&lt;=3,L432*'[3]Base Costs'!$B$9,'[3]Base Costs'!$B$10*M432))</f>
        <v>1500</v>
      </c>
      <c r="P432" s="252">
        <f>4*C432*'[3]Base Costs'!$B$11</f>
        <v>16693.468116951219</v>
      </c>
      <c r="Q432">
        <f>'[3]Base Costs'!$B$13+'[3]Base Costs'!$B$14</f>
        <v>414</v>
      </c>
      <c r="R432" s="239">
        <f>'[3]Base Costs'!$D$2</f>
        <v>1105.3024868650327</v>
      </c>
      <c r="S432" s="254">
        <f t="shared" si="48"/>
        <v>7232.8153037079319</v>
      </c>
    </row>
    <row r="433" spans="1:19" x14ac:dyDescent="0.25">
      <c r="A433" s="248" t="s">
        <v>1004</v>
      </c>
      <c r="B433" s="248" t="s">
        <v>935</v>
      </c>
      <c r="C433" s="249">
        <v>89.999841785000001</v>
      </c>
      <c r="D433" s="250">
        <f>C433*'[3]Base Costs'!$B$5</f>
        <v>89.999841785000001</v>
      </c>
      <c r="E433" s="250">
        <f t="shared" si="42"/>
        <v>12</v>
      </c>
      <c r="F433" s="250">
        <f t="shared" si="43"/>
        <v>3</v>
      </c>
      <c r="G433" s="250">
        <f t="shared" si="44"/>
        <v>1</v>
      </c>
      <c r="H433" s="251">
        <f>4*D433*'[3]Base Costs'!$B$7</f>
        <v>17886.928555718041</v>
      </c>
      <c r="I433" s="252">
        <f>4*IF(E433&lt;=3,E433*'[3]Base Costs'!$B$8,IF(F433&lt;=3,F433*'[3]Base Costs'!$B$9,'[3]Base Costs'!$B$10*G433))</f>
        <v>4200</v>
      </c>
      <c r="J433" s="253">
        <f>C433*'[3]Base Costs'!$B$6</f>
        <v>22.859959813389999</v>
      </c>
      <c r="K433" s="250">
        <f t="shared" si="45"/>
        <v>3</v>
      </c>
      <c r="L433" s="250">
        <f t="shared" si="46"/>
        <v>1</v>
      </c>
      <c r="M433" s="250">
        <f t="shared" si="47"/>
        <v>1</v>
      </c>
      <c r="N433" s="251">
        <f>4*J433*'[3]Base Costs'!$B$7</f>
        <v>4543.2798531523822</v>
      </c>
      <c r="O433" s="252">
        <f>4*IF(K433&lt;=3,K433*'[3]Base Costs'!$B$8,IF(L433&lt;=3,L433*'[3]Base Costs'!$B$9,'[3]Base Costs'!$B$10*M433))</f>
        <v>1500</v>
      </c>
      <c r="P433" s="252">
        <f>4*C433*'[3]Base Costs'!$B$11</f>
        <v>17999.968357000002</v>
      </c>
      <c r="Q433">
        <f>'[3]Base Costs'!$B$13+'[3]Base Costs'!$B$14</f>
        <v>414</v>
      </c>
      <c r="R433" s="239">
        <f>'[3]Base Costs'!$D$2</f>
        <v>1105.3024868650327</v>
      </c>
      <c r="S433" s="254">
        <f t="shared" si="48"/>
        <v>7562.5823400174149</v>
      </c>
    </row>
    <row r="434" spans="1:19" x14ac:dyDescent="0.25">
      <c r="A434" s="248" t="s">
        <v>1004</v>
      </c>
      <c r="B434" s="248" t="s">
        <v>936</v>
      </c>
      <c r="C434" s="249">
        <v>96.600016335000007</v>
      </c>
      <c r="D434" s="250">
        <f>C434*'[3]Base Costs'!$B$5</f>
        <v>96.600016335000007</v>
      </c>
      <c r="E434" s="250">
        <f t="shared" si="42"/>
        <v>13</v>
      </c>
      <c r="F434" s="250">
        <f t="shared" si="43"/>
        <v>3</v>
      </c>
      <c r="G434" s="250">
        <f t="shared" si="44"/>
        <v>1</v>
      </c>
      <c r="H434" s="251">
        <f>4*D434*'[3]Base Costs'!$B$7</f>
        <v>19198.673646483243</v>
      </c>
      <c r="I434" s="252">
        <f>4*IF(E434&lt;=3,E434*'[3]Base Costs'!$B$8,IF(F434&lt;=3,F434*'[3]Base Costs'!$B$9,'[3]Base Costs'!$B$10*G434))</f>
        <v>4200</v>
      </c>
      <c r="J434" s="253">
        <f>C434*'[3]Base Costs'!$B$6</f>
        <v>24.536404149090004</v>
      </c>
      <c r="K434" s="250">
        <f t="shared" si="45"/>
        <v>4</v>
      </c>
      <c r="L434" s="250">
        <f t="shared" si="46"/>
        <v>1</v>
      </c>
      <c r="M434" s="250">
        <f t="shared" si="47"/>
        <v>1</v>
      </c>
      <c r="N434" s="251">
        <f>4*J434*'[3]Base Costs'!$B$7</f>
        <v>4876.4631062067447</v>
      </c>
      <c r="O434" s="252">
        <f>4*IF(K434&lt;=3,K434*'[3]Base Costs'!$B$8,IF(L434&lt;=3,L434*'[3]Base Costs'!$B$9,'[3]Base Costs'!$B$10*M434))</f>
        <v>1400</v>
      </c>
      <c r="P434" s="252">
        <f>4*C434*'[3]Base Costs'!$B$11</f>
        <v>19320.003267</v>
      </c>
      <c r="Q434">
        <f>'[3]Base Costs'!$B$13+'[3]Base Costs'!$B$14</f>
        <v>414</v>
      </c>
      <c r="R434" s="239">
        <f>'[3]Base Costs'!$D$2</f>
        <v>1105.3024868650327</v>
      </c>
      <c r="S434" s="254">
        <f t="shared" si="48"/>
        <v>7795.7655930717774</v>
      </c>
    </row>
    <row r="435" spans="1:19" x14ac:dyDescent="0.25">
      <c r="A435" s="248" t="s">
        <v>1004</v>
      </c>
      <c r="B435" s="248" t="s">
        <v>937</v>
      </c>
      <c r="C435" s="249">
        <v>52.422417441599976</v>
      </c>
      <c r="D435" s="250">
        <f>C435*'[3]Base Costs'!$B$5</f>
        <v>52.422417441599976</v>
      </c>
      <c r="E435" s="250">
        <f t="shared" si="42"/>
        <v>7</v>
      </c>
      <c r="F435" s="250">
        <f t="shared" si="43"/>
        <v>2</v>
      </c>
      <c r="G435" s="250">
        <f t="shared" si="44"/>
        <v>1</v>
      </c>
      <c r="H435" s="251">
        <f>4*D435*'[3]Base Costs'!$B$7</f>
        <v>10418.640932013346</v>
      </c>
      <c r="I435" s="252">
        <f>4*IF(E435&lt;=3,E435*'[3]Base Costs'!$B$8,IF(F435&lt;=3,F435*'[3]Base Costs'!$B$9,'[3]Base Costs'!$B$10*G435))</f>
        <v>2800</v>
      </c>
      <c r="J435" s="253">
        <f>C435*'[3]Base Costs'!$B$6</f>
        <v>13.315294030166394</v>
      </c>
      <c r="K435" s="250">
        <f t="shared" si="45"/>
        <v>2</v>
      </c>
      <c r="L435" s="250">
        <f t="shared" si="46"/>
        <v>1</v>
      </c>
      <c r="M435" s="250">
        <f t="shared" si="47"/>
        <v>1</v>
      </c>
      <c r="N435" s="251">
        <f>4*J435*'[3]Base Costs'!$B$7</f>
        <v>2646.3347967313903</v>
      </c>
      <c r="O435" s="252">
        <f>4*IF(K435&lt;=3,K435*'[3]Base Costs'!$B$8,IF(L435&lt;=3,L435*'[3]Base Costs'!$B$9,'[3]Base Costs'!$B$10*M435))</f>
        <v>1000</v>
      </c>
      <c r="P435" s="252">
        <f>4*C435*'[3]Base Costs'!$B$11</f>
        <v>10484.483488319995</v>
      </c>
      <c r="Q435">
        <f>'[3]Base Costs'!$B$13+'[3]Base Costs'!$B$14</f>
        <v>414</v>
      </c>
      <c r="R435" s="239">
        <f>'[3]Base Costs'!$D$2</f>
        <v>1105.3024868650327</v>
      </c>
      <c r="S435" s="254">
        <f t="shared" si="48"/>
        <v>5165.637283596423</v>
      </c>
    </row>
    <row r="436" spans="1:19" x14ac:dyDescent="0.25">
      <c r="A436" s="248" t="s">
        <v>1004</v>
      </c>
      <c r="B436" s="248" t="s">
        <v>938</v>
      </c>
      <c r="C436" s="249">
        <v>138.82300364620804</v>
      </c>
      <c r="D436" s="250">
        <f>C436*'[3]Base Costs'!$B$5</f>
        <v>138.82300364620804</v>
      </c>
      <c r="E436" s="250">
        <f t="shared" si="42"/>
        <v>18</v>
      </c>
      <c r="F436" s="250">
        <f t="shared" si="43"/>
        <v>4</v>
      </c>
      <c r="G436" s="250">
        <f t="shared" si="44"/>
        <v>1</v>
      </c>
      <c r="H436" s="251">
        <f>4*D436*'[3]Base Costs'!$B$7</f>
        <v>27590.239036661973</v>
      </c>
      <c r="I436" s="252">
        <f>4*IF(E436&lt;=3,E436*'[3]Base Costs'!$B$8,IF(F436&lt;=3,F436*'[3]Base Costs'!$B$9,'[3]Base Costs'!$B$10*G436))</f>
        <v>4400</v>
      </c>
      <c r="J436" s="253">
        <f>C436*'[3]Base Costs'!$B$6</f>
        <v>35.261042926136845</v>
      </c>
      <c r="K436" s="250">
        <f t="shared" si="45"/>
        <v>5</v>
      </c>
      <c r="L436" s="250">
        <f t="shared" si="46"/>
        <v>1</v>
      </c>
      <c r="M436" s="250">
        <f t="shared" si="47"/>
        <v>1</v>
      </c>
      <c r="N436" s="251">
        <f>4*J436*'[3]Base Costs'!$B$7</f>
        <v>7007.9207153121424</v>
      </c>
      <c r="O436" s="252">
        <f>4*IF(K436&lt;=3,K436*'[3]Base Costs'!$B$8,IF(L436&lt;=3,L436*'[3]Base Costs'!$B$9,'[3]Base Costs'!$B$10*M436))</f>
        <v>1400</v>
      </c>
      <c r="P436" s="252">
        <f>4*C436*'[3]Base Costs'!$B$11</f>
        <v>27764.600729241607</v>
      </c>
      <c r="Q436">
        <f>'[3]Base Costs'!$B$13+'[3]Base Costs'!$B$14</f>
        <v>414</v>
      </c>
      <c r="R436" s="239">
        <f>'[3]Base Costs'!$D$2</f>
        <v>1105.3024868650327</v>
      </c>
      <c r="S436" s="254">
        <f t="shared" si="48"/>
        <v>9927.2232021771742</v>
      </c>
    </row>
    <row r="437" spans="1:19" x14ac:dyDescent="0.25">
      <c r="A437" s="248" t="s">
        <v>1004</v>
      </c>
      <c r="B437" s="248" t="s">
        <v>939</v>
      </c>
      <c r="C437" s="249">
        <v>142.82094907483105</v>
      </c>
      <c r="D437" s="250">
        <f>C437*'[3]Base Costs'!$B$5</f>
        <v>142.82094907483105</v>
      </c>
      <c r="E437" s="250">
        <f t="shared" si="42"/>
        <v>18</v>
      </c>
      <c r="F437" s="250">
        <f t="shared" si="43"/>
        <v>4</v>
      </c>
      <c r="G437" s="250">
        <f t="shared" si="44"/>
        <v>1</v>
      </c>
      <c r="H437" s="251">
        <f>4*D437*'[3]Base Costs'!$B$7</f>
        <v>28384.806702928225</v>
      </c>
      <c r="I437" s="252">
        <f>4*IF(E437&lt;=3,E437*'[3]Base Costs'!$B$8,IF(F437&lt;=3,F437*'[3]Base Costs'!$B$9,'[3]Base Costs'!$B$10*G437))</f>
        <v>4400</v>
      </c>
      <c r="J437" s="253">
        <f>C437*'[3]Base Costs'!$B$6</f>
        <v>36.276521065007088</v>
      </c>
      <c r="K437" s="250">
        <f t="shared" si="45"/>
        <v>5</v>
      </c>
      <c r="L437" s="250">
        <f t="shared" si="46"/>
        <v>1</v>
      </c>
      <c r="M437" s="250">
        <f t="shared" si="47"/>
        <v>1</v>
      </c>
      <c r="N437" s="251">
        <f>4*J437*'[3]Base Costs'!$B$7</f>
        <v>7209.7409025437701</v>
      </c>
      <c r="O437" s="252">
        <f>4*IF(K437&lt;=3,K437*'[3]Base Costs'!$B$8,IF(L437&lt;=3,L437*'[3]Base Costs'!$B$9,'[3]Base Costs'!$B$10*M437))</f>
        <v>1400</v>
      </c>
      <c r="P437" s="252">
        <f>4*C437*'[3]Base Costs'!$B$11</f>
        <v>28564.189814966208</v>
      </c>
      <c r="Q437">
        <f>'[3]Base Costs'!$B$13+'[3]Base Costs'!$B$14</f>
        <v>414</v>
      </c>
      <c r="R437" s="239">
        <f>'[3]Base Costs'!$D$2</f>
        <v>1105.3024868650327</v>
      </c>
      <c r="S437" s="254">
        <f t="shared" si="48"/>
        <v>10129.043389408802</v>
      </c>
    </row>
    <row r="438" spans="1:19" x14ac:dyDescent="0.25">
      <c r="A438" s="248" t="s">
        <v>1004</v>
      </c>
      <c r="B438" s="248" t="s">
        <v>940</v>
      </c>
      <c r="C438" s="249">
        <v>129.84675261997489</v>
      </c>
      <c r="D438" s="250">
        <f>C438*'[3]Base Costs'!$B$5</f>
        <v>129.84675261997489</v>
      </c>
      <c r="E438" s="250">
        <f t="shared" si="42"/>
        <v>17</v>
      </c>
      <c r="F438" s="250">
        <f t="shared" si="43"/>
        <v>4</v>
      </c>
      <c r="G438" s="250">
        <f t="shared" si="44"/>
        <v>1</v>
      </c>
      <c r="H438" s="251">
        <f>4*D438*'[3]Base Costs'!$B$7</f>
        <v>25806.263002704294</v>
      </c>
      <c r="I438" s="252">
        <f>4*IF(E438&lt;=3,E438*'[3]Base Costs'!$B$8,IF(F438&lt;=3,F438*'[3]Base Costs'!$B$9,'[3]Base Costs'!$B$10*G438))</f>
        <v>4400</v>
      </c>
      <c r="J438" s="253">
        <f>C438*'[3]Base Costs'!$B$6</f>
        <v>32.981075165473626</v>
      </c>
      <c r="K438" s="250">
        <f t="shared" si="45"/>
        <v>5</v>
      </c>
      <c r="L438" s="250">
        <f t="shared" si="46"/>
        <v>1</v>
      </c>
      <c r="M438" s="250">
        <f t="shared" si="47"/>
        <v>1</v>
      </c>
      <c r="N438" s="251">
        <f>4*J438*'[3]Base Costs'!$B$7</f>
        <v>6554.7908026868918</v>
      </c>
      <c r="O438" s="252">
        <f>4*IF(K438&lt;=3,K438*'[3]Base Costs'!$B$8,IF(L438&lt;=3,L438*'[3]Base Costs'!$B$9,'[3]Base Costs'!$B$10*M438))</f>
        <v>1400</v>
      </c>
      <c r="P438" s="252">
        <f>4*C438*'[3]Base Costs'!$B$11</f>
        <v>25969.350523994977</v>
      </c>
      <c r="Q438">
        <f>'[3]Base Costs'!$B$13+'[3]Base Costs'!$B$14</f>
        <v>414</v>
      </c>
      <c r="R438" s="239">
        <f>'[3]Base Costs'!$D$2</f>
        <v>1105.3024868650327</v>
      </c>
      <c r="S438" s="254">
        <f t="shared" si="48"/>
        <v>9474.0932895519254</v>
      </c>
    </row>
    <row r="439" spans="1:19" x14ac:dyDescent="0.25">
      <c r="A439" s="248" t="s">
        <v>1004</v>
      </c>
      <c r="B439" s="248" t="s">
        <v>941</v>
      </c>
      <c r="C439" s="249">
        <v>160.10061849658041</v>
      </c>
      <c r="D439" s="250">
        <f>C439*'[3]Base Costs'!$B$5</f>
        <v>160.10061849658041</v>
      </c>
      <c r="E439" s="250">
        <f t="shared" si="42"/>
        <v>21</v>
      </c>
      <c r="F439" s="250">
        <f t="shared" si="43"/>
        <v>5</v>
      </c>
      <c r="G439" s="250">
        <f t="shared" si="44"/>
        <v>2</v>
      </c>
      <c r="H439" s="251">
        <f>4*D439*'[3]Base Costs'!$B$7</f>
        <v>31819.037322484382</v>
      </c>
      <c r="I439" s="252">
        <f>4*IF(E439&lt;=3,E439*'[3]Base Costs'!$B$8,IF(F439&lt;=3,F439*'[3]Base Costs'!$B$9,'[3]Base Costs'!$B$10*G439))</f>
        <v>8800</v>
      </c>
      <c r="J439" s="253">
        <f>C439*'[3]Base Costs'!$B$6</f>
        <v>40.665557098131423</v>
      </c>
      <c r="K439" s="250">
        <f t="shared" si="45"/>
        <v>6</v>
      </c>
      <c r="L439" s="250">
        <f t="shared" si="46"/>
        <v>2</v>
      </c>
      <c r="M439" s="250">
        <f t="shared" si="47"/>
        <v>1</v>
      </c>
      <c r="N439" s="251">
        <f>4*J439*'[3]Base Costs'!$B$7</f>
        <v>8082.0354799110328</v>
      </c>
      <c r="O439" s="252">
        <f>4*IF(K439&lt;=3,K439*'[3]Base Costs'!$B$8,IF(L439&lt;=3,L439*'[3]Base Costs'!$B$9,'[3]Base Costs'!$B$10*M439))</f>
        <v>2800</v>
      </c>
      <c r="P439" s="252">
        <f>4*C439*'[3]Base Costs'!$B$11</f>
        <v>32020.123699316082</v>
      </c>
      <c r="Q439">
        <f>'[3]Base Costs'!$B$13+'[3]Base Costs'!$B$14</f>
        <v>414</v>
      </c>
      <c r="R439" s="239">
        <f>'[3]Base Costs'!$D$2</f>
        <v>1105.3024868650327</v>
      </c>
      <c r="S439" s="254">
        <f t="shared" si="48"/>
        <v>12401.337966776066</v>
      </c>
    </row>
    <row r="440" spans="1:19" x14ac:dyDescent="0.25">
      <c r="A440" s="248" t="s">
        <v>1004</v>
      </c>
      <c r="B440" s="248" t="s">
        <v>995</v>
      </c>
      <c r="C440" s="249">
        <v>48.899855555000002</v>
      </c>
      <c r="D440" s="250">
        <f>C440*'[3]Base Costs'!$B$5</f>
        <v>48.899855555000002</v>
      </c>
      <c r="E440" s="250">
        <f t="shared" si="42"/>
        <v>7</v>
      </c>
      <c r="F440" s="250">
        <f t="shared" si="43"/>
        <v>2</v>
      </c>
      <c r="G440" s="250">
        <f t="shared" si="44"/>
        <v>1</v>
      </c>
      <c r="H440" s="251">
        <f>4*D440*'[3]Base Costs'!$B$7</f>
        <v>9718.552892422922</v>
      </c>
      <c r="I440" s="252">
        <f>4*IF(E440&lt;=3,E440*'[3]Base Costs'!$B$8,IF(F440&lt;=3,F440*'[3]Base Costs'!$B$9,'[3]Base Costs'!$B$10*G440))</f>
        <v>2800</v>
      </c>
      <c r="J440" s="253">
        <f>C440*'[3]Base Costs'!$B$6</f>
        <v>12.420563310970001</v>
      </c>
      <c r="K440" s="250">
        <f t="shared" si="45"/>
        <v>2</v>
      </c>
      <c r="L440" s="250">
        <f t="shared" si="46"/>
        <v>1</v>
      </c>
      <c r="M440" s="250">
        <f t="shared" si="47"/>
        <v>1</v>
      </c>
      <c r="N440" s="251">
        <f>4*J440*'[3]Base Costs'!$B$7</f>
        <v>2468.5124346754224</v>
      </c>
      <c r="O440" s="252">
        <f>4*IF(K440&lt;=3,K440*'[3]Base Costs'!$B$8,IF(L440&lt;=3,L440*'[3]Base Costs'!$B$9,'[3]Base Costs'!$B$10*M440))</f>
        <v>1000</v>
      </c>
      <c r="P440" s="252">
        <f>4*C440*'[3]Base Costs'!$B$11</f>
        <v>9779.9711110000007</v>
      </c>
      <c r="Q440">
        <f>'[3]Base Costs'!$B$13+'[3]Base Costs'!$B$14</f>
        <v>414</v>
      </c>
      <c r="R440" s="239">
        <f>'[3]Base Costs'!$D$2</f>
        <v>1105.3024868650327</v>
      </c>
      <c r="S440" s="254">
        <f t="shared" si="48"/>
        <v>4987.8149215404555</v>
      </c>
    </row>
    <row r="441" spans="1:19" x14ac:dyDescent="0.25">
      <c r="A441" s="248" t="s">
        <v>1004</v>
      </c>
      <c r="B441" s="248" t="s">
        <v>942</v>
      </c>
      <c r="C441" s="249">
        <v>155.20714591728358</v>
      </c>
      <c r="D441" s="250">
        <f>C441*'[3]Base Costs'!$B$5</f>
        <v>155.20714591728358</v>
      </c>
      <c r="E441" s="250">
        <f t="shared" si="42"/>
        <v>20</v>
      </c>
      <c r="F441" s="250">
        <f t="shared" si="43"/>
        <v>4</v>
      </c>
      <c r="G441" s="250">
        <f t="shared" si="44"/>
        <v>1</v>
      </c>
      <c r="H441" s="251">
        <f>4*D441*'[3]Base Costs'!$B$7</f>
        <v>30846.489008184613</v>
      </c>
      <c r="I441" s="252">
        <f>4*IF(E441&lt;=3,E441*'[3]Base Costs'!$B$8,IF(F441&lt;=3,F441*'[3]Base Costs'!$B$9,'[3]Base Costs'!$B$10*G441))</f>
        <v>4400</v>
      </c>
      <c r="J441" s="253">
        <f>C441*'[3]Base Costs'!$B$6</f>
        <v>39.422615062990033</v>
      </c>
      <c r="K441" s="250">
        <f t="shared" si="45"/>
        <v>5</v>
      </c>
      <c r="L441" s="250">
        <f t="shared" si="46"/>
        <v>1</v>
      </c>
      <c r="M441" s="250">
        <f t="shared" si="47"/>
        <v>1</v>
      </c>
      <c r="N441" s="251">
        <f>4*J441*'[3]Base Costs'!$B$7</f>
        <v>7835.0082080788925</v>
      </c>
      <c r="O441" s="252">
        <f>4*IF(K441&lt;=3,K441*'[3]Base Costs'!$B$8,IF(L441&lt;=3,L441*'[3]Base Costs'!$B$9,'[3]Base Costs'!$B$10*M441))</f>
        <v>1400</v>
      </c>
      <c r="P441" s="252">
        <f>4*C441*'[3]Base Costs'!$B$11</f>
        <v>31041.429183456716</v>
      </c>
      <c r="Q441">
        <f>'[3]Base Costs'!$B$13+'[3]Base Costs'!$B$14</f>
        <v>414</v>
      </c>
      <c r="R441" s="239">
        <f>'[3]Base Costs'!$D$2</f>
        <v>1105.3024868650327</v>
      </c>
      <c r="S441" s="254">
        <f t="shared" si="48"/>
        <v>10754.310694943924</v>
      </c>
    </row>
    <row r="442" spans="1:19" x14ac:dyDescent="0.25">
      <c r="A442" s="248" t="s">
        <v>1004</v>
      </c>
      <c r="B442" s="248" t="s">
        <v>943</v>
      </c>
      <c r="C442" s="249">
        <v>89.021334053638213</v>
      </c>
      <c r="D442" s="250">
        <f>C442*'[3]Base Costs'!$B$5</f>
        <v>89.021334053638213</v>
      </c>
      <c r="E442" s="250">
        <f t="shared" si="42"/>
        <v>12</v>
      </c>
      <c r="F442" s="250">
        <f t="shared" si="43"/>
        <v>3</v>
      </c>
      <c r="G442" s="250">
        <f t="shared" si="44"/>
        <v>1</v>
      </c>
      <c r="H442" s="251">
        <f>4*D442*'[3]Base Costs'!$B$7</f>
        <v>17692.456015156276</v>
      </c>
      <c r="I442" s="252">
        <f>4*IF(E442&lt;=3,E442*'[3]Base Costs'!$B$8,IF(F442&lt;=3,F442*'[3]Base Costs'!$B$9,'[3]Base Costs'!$B$10*G442))</f>
        <v>4200</v>
      </c>
      <c r="J442" s="253">
        <f>C442*'[3]Base Costs'!$B$6</f>
        <v>22.611418849624105</v>
      </c>
      <c r="K442" s="250">
        <f t="shared" si="45"/>
        <v>3</v>
      </c>
      <c r="L442" s="250">
        <f t="shared" si="46"/>
        <v>1</v>
      </c>
      <c r="M442" s="250">
        <f t="shared" si="47"/>
        <v>1</v>
      </c>
      <c r="N442" s="251">
        <f>4*J442*'[3]Base Costs'!$B$7</f>
        <v>4493.8838278496942</v>
      </c>
      <c r="O442" s="252">
        <f>4*IF(K442&lt;=3,K442*'[3]Base Costs'!$B$8,IF(L442&lt;=3,L442*'[3]Base Costs'!$B$9,'[3]Base Costs'!$B$10*M442))</f>
        <v>1500</v>
      </c>
      <c r="P442" s="252">
        <f>4*C442*'[3]Base Costs'!$B$11</f>
        <v>17804.266810727644</v>
      </c>
      <c r="Q442">
        <f>'[3]Base Costs'!$B$13+'[3]Base Costs'!$B$14</f>
        <v>414</v>
      </c>
      <c r="R442" s="239">
        <f>'[3]Base Costs'!$D$2</f>
        <v>1105.3024868650327</v>
      </c>
      <c r="S442" s="254">
        <f t="shared" si="48"/>
        <v>7513.1863147147269</v>
      </c>
    </row>
    <row r="443" spans="1:19" x14ac:dyDescent="0.25">
      <c r="A443" s="248" t="s">
        <v>1004</v>
      </c>
      <c r="B443" s="248" t="s">
        <v>944</v>
      </c>
      <c r="C443" s="249">
        <v>56.076779652284003</v>
      </c>
      <c r="D443" s="250">
        <f>C443*'[3]Base Costs'!$B$5</f>
        <v>56.076779652284003</v>
      </c>
      <c r="E443" s="250">
        <f t="shared" si="42"/>
        <v>8</v>
      </c>
      <c r="F443" s="250">
        <f t="shared" si="43"/>
        <v>2</v>
      </c>
      <c r="G443" s="250">
        <f t="shared" si="44"/>
        <v>1</v>
      </c>
      <c r="H443" s="251">
        <f>4*D443*'[3]Base Costs'!$B$7</f>
        <v>11144.923495213534</v>
      </c>
      <c r="I443" s="252">
        <f>4*IF(E443&lt;=3,E443*'[3]Base Costs'!$B$8,IF(F443&lt;=3,F443*'[3]Base Costs'!$B$9,'[3]Base Costs'!$B$10*G443))</f>
        <v>2800</v>
      </c>
      <c r="J443" s="253">
        <f>C443*'[3]Base Costs'!$B$6</f>
        <v>14.243502031680137</v>
      </c>
      <c r="K443" s="250">
        <f t="shared" si="45"/>
        <v>2</v>
      </c>
      <c r="L443" s="250">
        <f t="shared" si="46"/>
        <v>1</v>
      </c>
      <c r="M443" s="250">
        <f t="shared" si="47"/>
        <v>1</v>
      </c>
      <c r="N443" s="251">
        <f>4*J443*'[3]Base Costs'!$B$7</f>
        <v>2830.8105677842377</v>
      </c>
      <c r="O443" s="252">
        <f>4*IF(K443&lt;=3,K443*'[3]Base Costs'!$B$8,IF(L443&lt;=3,L443*'[3]Base Costs'!$B$9,'[3]Base Costs'!$B$10*M443))</f>
        <v>1000</v>
      </c>
      <c r="P443" s="252">
        <f>4*C443*'[3]Base Costs'!$B$11</f>
        <v>11215.355930456801</v>
      </c>
      <c r="Q443">
        <f>'[3]Base Costs'!$B$13+'[3]Base Costs'!$B$14</f>
        <v>414</v>
      </c>
      <c r="R443" s="239">
        <f>'[3]Base Costs'!$D$2</f>
        <v>1105.3024868650327</v>
      </c>
      <c r="S443" s="254">
        <f t="shared" si="48"/>
        <v>5350.1130546492705</v>
      </c>
    </row>
    <row r="444" spans="1:19" x14ac:dyDescent="0.25">
      <c r="A444" s="248" t="s">
        <v>1004</v>
      </c>
      <c r="B444" s="248" t="s">
        <v>945</v>
      </c>
      <c r="C444" s="249">
        <v>172.02044384582197</v>
      </c>
      <c r="D444" s="250">
        <f>C444*'[3]Base Costs'!$B$5</f>
        <v>172.02044384582197</v>
      </c>
      <c r="E444" s="250">
        <f t="shared" si="42"/>
        <v>22</v>
      </c>
      <c r="F444" s="250">
        <f t="shared" si="43"/>
        <v>5</v>
      </c>
      <c r="G444" s="250">
        <f t="shared" si="44"/>
        <v>2</v>
      </c>
      <c r="H444" s="251">
        <f>4*D444*'[3]Base Costs'!$B$7</f>
        <v>34188.031091694043</v>
      </c>
      <c r="I444" s="252">
        <f>4*IF(E444&lt;=3,E444*'[3]Base Costs'!$B$8,IF(F444&lt;=3,F444*'[3]Base Costs'!$B$9,'[3]Base Costs'!$B$10*G444))</f>
        <v>8800</v>
      </c>
      <c r="J444" s="253">
        <f>C444*'[3]Base Costs'!$B$6</f>
        <v>43.693192736838782</v>
      </c>
      <c r="K444" s="250">
        <f t="shared" si="45"/>
        <v>6</v>
      </c>
      <c r="L444" s="250">
        <f t="shared" si="46"/>
        <v>2</v>
      </c>
      <c r="M444" s="250">
        <f t="shared" si="47"/>
        <v>1</v>
      </c>
      <c r="N444" s="251">
        <f>4*J444*'[3]Base Costs'!$B$7</f>
        <v>8683.7598972902888</v>
      </c>
      <c r="O444" s="252">
        <f>4*IF(K444&lt;=3,K444*'[3]Base Costs'!$B$8,IF(L444&lt;=3,L444*'[3]Base Costs'!$B$9,'[3]Base Costs'!$B$10*M444))</f>
        <v>2800</v>
      </c>
      <c r="P444" s="252">
        <f>4*C444*'[3]Base Costs'!$B$11</f>
        <v>34404.088769164395</v>
      </c>
      <c r="Q444">
        <f>'[3]Base Costs'!$B$13+'[3]Base Costs'!$B$14</f>
        <v>414</v>
      </c>
      <c r="R444" s="239">
        <f>'[3]Base Costs'!$D$2</f>
        <v>1105.3024868650327</v>
      </c>
      <c r="S444" s="254">
        <f t="shared" si="48"/>
        <v>13003.062384155321</v>
      </c>
    </row>
    <row r="445" spans="1:19" x14ac:dyDescent="0.25">
      <c r="A445" s="248" t="s">
        <v>1004</v>
      </c>
      <c r="B445" s="248" t="s">
        <v>946</v>
      </c>
      <c r="C445" s="249">
        <v>239.99304784384373</v>
      </c>
      <c r="D445" s="250">
        <f>C445*'[3]Base Costs'!$B$5</f>
        <v>239.99304784384373</v>
      </c>
      <c r="E445" s="250">
        <f t="shared" si="42"/>
        <v>30</v>
      </c>
      <c r="F445" s="250">
        <f t="shared" si="43"/>
        <v>6</v>
      </c>
      <c r="G445" s="250">
        <f t="shared" si="44"/>
        <v>2</v>
      </c>
      <c r="H445" s="251">
        <f>4*D445*'[3]Base Costs'!$B$7</f>
        <v>47697.178300676882</v>
      </c>
      <c r="I445" s="252">
        <f>4*IF(E445&lt;=3,E445*'[3]Base Costs'!$B$8,IF(F445&lt;=3,F445*'[3]Base Costs'!$B$9,'[3]Base Costs'!$B$10*G445))</f>
        <v>8800</v>
      </c>
      <c r="J445" s="253">
        <f>C445*'[3]Base Costs'!$B$6</f>
        <v>60.95823415233631</v>
      </c>
      <c r="K445" s="250">
        <f t="shared" si="45"/>
        <v>8</v>
      </c>
      <c r="L445" s="250">
        <f t="shared" si="46"/>
        <v>2</v>
      </c>
      <c r="M445" s="250">
        <f t="shared" si="47"/>
        <v>1</v>
      </c>
      <c r="N445" s="251">
        <f>4*J445*'[3]Base Costs'!$B$7</f>
        <v>12115.083288371929</v>
      </c>
      <c r="O445" s="252">
        <f>4*IF(K445&lt;=3,K445*'[3]Base Costs'!$B$8,IF(L445&lt;=3,L445*'[3]Base Costs'!$B$9,'[3]Base Costs'!$B$10*M445))</f>
        <v>2800</v>
      </c>
      <c r="P445" s="252">
        <f>4*C445*'[3]Base Costs'!$B$11</f>
        <v>47998.609568768748</v>
      </c>
      <c r="Q445">
        <f>'[3]Base Costs'!$B$13+'[3]Base Costs'!$B$14</f>
        <v>414</v>
      </c>
      <c r="R445" s="239">
        <f>'[3]Base Costs'!$D$2</f>
        <v>1105.3024868650327</v>
      </c>
      <c r="S445" s="254">
        <f t="shared" si="48"/>
        <v>16434.385775236962</v>
      </c>
    </row>
    <row r="446" spans="1:19" x14ac:dyDescent="0.25">
      <c r="A446" s="248" t="s">
        <v>1004</v>
      </c>
      <c r="B446" s="248" t="s">
        <v>947</v>
      </c>
      <c r="C446" s="249">
        <v>159.50000000000003</v>
      </c>
      <c r="D446" s="250">
        <f>C446*'[3]Base Costs'!$B$5</f>
        <v>159.50000000000003</v>
      </c>
      <c r="E446" s="250">
        <f t="shared" si="42"/>
        <v>20</v>
      </c>
      <c r="F446" s="250">
        <f t="shared" si="43"/>
        <v>4</v>
      </c>
      <c r="G446" s="250">
        <f t="shared" si="44"/>
        <v>1</v>
      </c>
      <c r="H446" s="251">
        <f>4*D446*'[3]Base Costs'!$B$7</f>
        <v>31699.668000000009</v>
      </c>
      <c r="I446" s="252">
        <f>4*IF(E446&lt;=3,E446*'[3]Base Costs'!$B$8,IF(F446&lt;=3,F446*'[3]Base Costs'!$B$9,'[3]Base Costs'!$B$10*G446))</f>
        <v>4400</v>
      </c>
      <c r="J446" s="253">
        <f>C446*'[3]Base Costs'!$B$6</f>
        <v>40.513000000000005</v>
      </c>
      <c r="K446" s="250">
        <f t="shared" si="45"/>
        <v>6</v>
      </c>
      <c r="L446" s="250">
        <f t="shared" si="46"/>
        <v>2</v>
      </c>
      <c r="M446" s="250">
        <f t="shared" si="47"/>
        <v>1</v>
      </c>
      <c r="N446" s="251">
        <f>4*J446*'[3]Base Costs'!$B$7</f>
        <v>8051.7156720000021</v>
      </c>
      <c r="O446" s="252">
        <f>4*IF(K446&lt;=3,K446*'[3]Base Costs'!$B$8,IF(L446&lt;=3,L446*'[3]Base Costs'!$B$9,'[3]Base Costs'!$B$10*M446))</f>
        <v>2800</v>
      </c>
      <c r="P446" s="252">
        <f>4*C446*'[3]Base Costs'!$B$11</f>
        <v>31900.000000000007</v>
      </c>
      <c r="Q446">
        <f>'[3]Base Costs'!$B$13+'[3]Base Costs'!$B$14</f>
        <v>414</v>
      </c>
      <c r="R446" s="239">
        <f>'[3]Base Costs'!$D$2</f>
        <v>1105.3024868650327</v>
      </c>
      <c r="S446" s="254">
        <f t="shared" si="48"/>
        <v>12371.018158865034</v>
      </c>
    </row>
    <row r="447" spans="1:19" x14ac:dyDescent="0.25">
      <c r="A447" s="248" t="s">
        <v>1004</v>
      </c>
      <c r="B447" s="248" t="s">
        <v>948</v>
      </c>
      <c r="C447" s="249">
        <v>130.41190190040251</v>
      </c>
      <c r="D447" s="250">
        <f>C447*'[3]Base Costs'!$B$5</f>
        <v>130.41190190040251</v>
      </c>
      <c r="E447" s="250">
        <f t="shared" si="42"/>
        <v>17</v>
      </c>
      <c r="F447" s="250">
        <f t="shared" si="43"/>
        <v>4</v>
      </c>
      <c r="G447" s="250">
        <f t="shared" si="44"/>
        <v>1</v>
      </c>
      <c r="H447" s="251">
        <f>4*D447*'[3]Base Costs'!$B$7</f>
        <v>25918.583031293601</v>
      </c>
      <c r="I447" s="252">
        <f>4*IF(E447&lt;=3,E447*'[3]Base Costs'!$B$8,IF(F447&lt;=3,F447*'[3]Base Costs'!$B$9,'[3]Base Costs'!$B$10*G447))</f>
        <v>4400</v>
      </c>
      <c r="J447" s="253">
        <f>C447*'[3]Base Costs'!$B$6</f>
        <v>33.124623082702236</v>
      </c>
      <c r="K447" s="250">
        <f t="shared" si="45"/>
        <v>5</v>
      </c>
      <c r="L447" s="250">
        <f t="shared" si="46"/>
        <v>1</v>
      </c>
      <c r="M447" s="250">
        <f t="shared" si="47"/>
        <v>1</v>
      </c>
      <c r="N447" s="251">
        <f>4*J447*'[3]Base Costs'!$B$7</f>
        <v>6583.3200899485737</v>
      </c>
      <c r="O447" s="252">
        <f>4*IF(K447&lt;=3,K447*'[3]Base Costs'!$B$8,IF(L447&lt;=3,L447*'[3]Base Costs'!$B$9,'[3]Base Costs'!$B$10*M447))</f>
        <v>1400</v>
      </c>
      <c r="P447" s="252">
        <f>4*C447*'[3]Base Costs'!$B$11</f>
        <v>26082.380380080504</v>
      </c>
      <c r="Q447">
        <f>'[3]Base Costs'!$B$13+'[3]Base Costs'!$B$14</f>
        <v>414</v>
      </c>
      <c r="R447" s="239">
        <f>'[3]Base Costs'!$D$2</f>
        <v>1105.3024868650327</v>
      </c>
      <c r="S447" s="254">
        <f t="shared" si="48"/>
        <v>9502.6225768136064</v>
      </c>
    </row>
    <row r="448" spans="1:19" x14ac:dyDescent="0.25">
      <c r="A448" s="248" t="s">
        <v>1004</v>
      </c>
      <c r="B448" s="248" t="s">
        <v>949</v>
      </c>
      <c r="C448" s="249">
        <v>255.00247580000001</v>
      </c>
      <c r="D448" s="250">
        <f>C448*'[3]Base Costs'!$B$5</f>
        <v>255.00247580000001</v>
      </c>
      <c r="E448" s="250">
        <f t="shared" si="42"/>
        <v>32</v>
      </c>
      <c r="F448" s="250">
        <f t="shared" si="43"/>
        <v>7</v>
      </c>
      <c r="G448" s="250">
        <f t="shared" si="44"/>
        <v>2</v>
      </c>
      <c r="H448" s="251">
        <f>4*D448*'[3]Base Costs'!$B$7</f>
        <v>50680.21205039521</v>
      </c>
      <c r="I448" s="252">
        <f>4*IF(E448&lt;=3,E448*'[3]Base Costs'!$B$8,IF(F448&lt;=3,F448*'[3]Base Costs'!$B$9,'[3]Base Costs'!$B$10*G448))</f>
        <v>8800</v>
      </c>
      <c r="J448" s="253">
        <f>C448*'[3]Base Costs'!$B$6</f>
        <v>64.770628853200009</v>
      </c>
      <c r="K448" s="250">
        <f t="shared" si="45"/>
        <v>9</v>
      </c>
      <c r="L448" s="250">
        <f t="shared" si="46"/>
        <v>2</v>
      </c>
      <c r="M448" s="250">
        <f t="shared" si="47"/>
        <v>1</v>
      </c>
      <c r="N448" s="251">
        <f>4*J448*'[3]Base Costs'!$B$7</f>
        <v>12872.773860800384</v>
      </c>
      <c r="O448" s="252">
        <f>4*IF(K448&lt;=3,K448*'[3]Base Costs'!$B$8,IF(L448&lt;=3,L448*'[3]Base Costs'!$B$9,'[3]Base Costs'!$B$10*M448))</f>
        <v>2800</v>
      </c>
      <c r="P448" s="252">
        <f>4*C448*'[3]Base Costs'!$B$11</f>
        <v>51000.495160000006</v>
      </c>
      <c r="Q448">
        <f>'[3]Base Costs'!$B$13+'[3]Base Costs'!$B$14</f>
        <v>414</v>
      </c>
      <c r="R448" s="239">
        <f>'[3]Base Costs'!$D$2</f>
        <v>1105.3024868650327</v>
      </c>
      <c r="S448" s="254">
        <f t="shared" si="48"/>
        <v>17192.076347665417</v>
      </c>
    </row>
    <row r="449" spans="1:19" x14ac:dyDescent="0.25">
      <c r="A449" s="248" t="s">
        <v>1004</v>
      </c>
      <c r="B449" s="248" t="s">
        <v>996</v>
      </c>
      <c r="C449" s="249">
        <v>106.66666666666666</v>
      </c>
      <c r="D449" s="250">
        <f>C449*'[3]Base Costs'!$B$5</f>
        <v>106.66666666666666</v>
      </c>
      <c r="E449" s="250">
        <f t="shared" si="42"/>
        <v>14</v>
      </c>
      <c r="F449" s="250">
        <f t="shared" si="43"/>
        <v>3</v>
      </c>
      <c r="G449" s="250">
        <f t="shared" si="44"/>
        <v>1</v>
      </c>
      <c r="H449" s="251">
        <f>4*D449*'[3]Base Costs'!$B$7</f>
        <v>21199.360000000001</v>
      </c>
      <c r="I449" s="252">
        <f>4*IF(E449&lt;=3,E449*'[3]Base Costs'!$B$8,IF(F449&lt;=3,F449*'[3]Base Costs'!$B$9,'[3]Base Costs'!$B$10*G449))</f>
        <v>4200</v>
      </c>
      <c r="J449" s="253">
        <f>C449*'[3]Base Costs'!$B$6</f>
        <v>27.09333333333333</v>
      </c>
      <c r="K449" s="250">
        <f t="shared" si="45"/>
        <v>4</v>
      </c>
      <c r="L449" s="250">
        <f t="shared" si="46"/>
        <v>1</v>
      </c>
      <c r="M449" s="250">
        <f t="shared" si="47"/>
        <v>1</v>
      </c>
      <c r="N449" s="251">
        <f>4*J449*'[3]Base Costs'!$B$7</f>
        <v>5384.6374400000004</v>
      </c>
      <c r="O449" s="252">
        <f>4*IF(K449&lt;=3,K449*'[3]Base Costs'!$B$8,IF(L449&lt;=3,L449*'[3]Base Costs'!$B$9,'[3]Base Costs'!$B$10*M449))</f>
        <v>1400</v>
      </c>
      <c r="P449" s="252">
        <f>4*C449*'[3]Base Costs'!$B$11</f>
        <v>21333.333333333332</v>
      </c>
      <c r="Q449">
        <f>'[3]Base Costs'!$B$13+'[3]Base Costs'!$B$14</f>
        <v>414</v>
      </c>
      <c r="R449" s="239">
        <f>'[3]Base Costs'!$D$2</f>
        <v>1105.3024868650327</v>
      </c>
      <c r="S449" s="254">
        <f t="shared" si="48"/>
        <v>8303.9399268650341</v>
      </c>
    </row>
    <row r="450" spans="1:19" x14ac:dyDescent="0.25">
      <c r="A450" s="248" t="s">
        <v>1004</v>
      </c>
      <c r="B450" s="248" t="s">
        <v>950</v>
      </c>
      <c r="C450" s="249">
        <v>50.200369170000002</v>
      </c>
      <c r="D450" s="250">
        <f>C450*'[3]Base Costs'!$B$5</f>
        <v>50.200369170000002</v>
      </c>
      <c r="E450" s="250">
        <f t="shared" si="42"/>
        <v>7</v>
      </c>
      <c r="F450" s="250">
        <f t="shared" si="43"/>
        <v>2</v>
      </c>
      <c r="G450" s="250">
        <f t="shared" si="44"/>
        <v>1</v>
      </c>
      <c r="H450" s="251">
        <f>4*D450*'[3]Base Costs'!$B$7</f>
        <v>9977.0221703224815</v>
      </c>
      <c r="I450" s="252">
        <f>4*IF(E450&lt;=3,E450*'[3]Base Costs'!$B$8,IF(F450&lt;=3,F450*'[3]Base Costs'!$B$9,'[3]Base Costs'!$B$10*G450))</f>
        <v>2800</v>
      </c>
      <c r="J450" s="253">
        <f>C450*'[3]Base Costs'!$B$6</f>
        <v>12.750893769180001</v>
      </c>
      <c r="K450" s="250">
        <f t="shared" si="45"/>
        <v>2</v>
      </c>
      <c r="L450" s="250">
        <f t="shared" si="46"/>
        <v>1</v>
      </c>
      <c r="M450" s="250">
        <f t="shared" si="47"/>
        <v>1</v>
      </c>
      <c r="N450" s="251">
        <f>4*J450*'[3]Base Costs'!$B$7</f>
        <v>2534.1636312619103</v>
      </c>
      <c r="O450" s="252">
        <f>4*IF(K450&lt;=3,K450*'[3]Base Costs'!$B$8,IF(L450&lt;=3,L450*'[3]Base Costs'!$B$9,'[3]Base Costs'!$B$10*M450))</f>
        <v>1000</v>
      </c>
      <c r="P450" s="252">
        <f>4*C450*'[3]Base Costs'!$B$11</f>
        <v>10040.073834000001</v>
      </c>
      <c r="Q450">
        <f>'[3]Base Costs'!$B$13+'[3]Base Costs'!$B$14</f>
        <v>414</v>
      </c>
      <c r="R450" s="239">
        <f>'[3]Base Costs'!$D$2</f>
        <v>1105.3024868650327</v>
      </c>
      <c r="S450" s="254">
        <f t="shared" si="48"/>
        <v>5053.466118126943</v>
      </c>
    </row>
    <row r="451" spans="1:19" x14ac:dyDescent="0.25">
      <c r="A451" s="248" t="s">
        <v>1004</v>
      </c>
      <c r="B451" s="248" t="s">
        <v>951</v>
      </c>
      <c r="C451" s="249">
        <v>132.83112267411974</v>
      </c>
      <c r="D451" s="250">
        <f>C451*'[3]Base Costs'!$B$5</f>
        <v>132.83112267411974</v>
      </c>
      <c r="E451" s="250">
        <f t="shared" si="42"/>
        <v>17</v>
      </c>
      <c r="F451" s="250">
        <f t="shared" si="43"/>
        <v>4</v>
      </c>
      <c r="G451" s="250">
        <f t="shared" si="44"/>
        <v>1</v>
      </c>
      <c r="H451" s="251">
        <f>4*D451*'[3]Base Costs'!$B$7</f>
        <v>26399.388644745257</v>
      </c>
      <c r="I451" s="252">
        <f>4*IF(E451&lt;=3,E451*'[3]Base Costs'!$B$8,IF(F451&lt;=3,F451*'[3]Base Costs'!$B$9,'[3]Base Costs'!$B$10*G451))</f>
        <v>4400</v>
      </c>
      <c r="J451" s="253">
        <f>C451*'[3]Base Costs'!$B$6</f>
        <v>33.739105159226412</v>
      </c>
      <c r="K451" s="250">
        <f t="shared" si="45"/>
        <v>5</v>
      </c>
      <c r="L451" s="250">
        <f t="shared" si="46"/>
        <v>1</v>
      </c>
      <c r="M451" s="250">
        <f t="shared" si="47"/>
        <v>1</v>
      </c>
      <c r="N451" s="251">
        <f>4*J451*'[3]Base Costs'!$B$7</f>
        <v>6705.4447157652949</v>
      </c>
      <c r="O451" s="252">
        <f>4*IF(K451&lt;=3,K451*'[3]Base Costs'!$B$8,IF(L451&lt;=3,L451*'[3]Base Costs'!$B$9,'[3]Base Costs'!$B$10*M451))</f>
        <v>1400</v>
      </c>
      <c r="P451" s="252">
        <f>4*C451*'[3]Base Costs'!$B$11</f>
        <v>26566.224534823948</v>
      </c>
      <c r="Q451">
        <f>'[3]Base Costs'!$B$13+'[3]Base Costs'!$B$14</f>
        <v>414</v>
      </c>
      <c r="R451" s="239">
        <f>'[3]Base Costs'!$D$2</f>
        <v>1105.3024868650327</v>
      </c>
      <c r="S451" s="254">
        <f t="shared" si="48"/>
        <v>9624.7472026303276</v>
      </c>
    </row>
    <row r="452" spans="1:19" x14ac:dyDescent="0.25">
      <c r="A452" s="248" t="s">
        <v>1004</v>
      </c>
      <c r="B452" s="248" t="s">
        <v>952</v>
      </c>
      <c r="C452" s="249">
        <v>297.00266554500001</v>
      </c>
      <c r="D452" s="250">
        <f>C452*'[3]Base Costs'!$B$5</f>
        <v>297.00266554500001</v>
      </c>
      <c r="E452" s="250">
        <f t="shared" ref="E452:E493" si="49">ROUNDUP(D452/8,0)</f>
        <v>38</v>
      </c>
      <c r="F452" s="250">
        <f t="shared" ref="F452:F493" si="50">ROUNDUP(D452/40,0)</f>
        <v>8</v>
      </c>
      <c r="G452" s="250">
        <f t="shared" ref="G452:G493" si="51">ROUNDUP(D452/(40*4),0)</f>
        <v>2</v>
      </c>
      <c r="H452" s="251">
        <f>4*D452*'[3]Base Costs'!$B$7</f>
        <v>59027.497761075494</v>
      </c>
      <c r="I452" s="252">
        <f>4*IF(E452&lt;=3,E452*'[3]Base Costs'!$B$8,IF(F452&lt;=3,F452*'[3]Base Costs'!$B$9,'[3]Base Costs'!$B$10*G452))</f>
        <v>8800</v>
      </c>
      <c r="J452" s="253">
        <f>C452*'[3]Base Costs'!$B$6</f>
        <v>75.438677048430009</v>
      </c>
      <c r="K452" s="250">
        <f t="shared" ref="K452:K493" si="52">ROUNDUP(J452/8,0)</f>
        <v>10</v>
      </c>
      <c r="L452" s="250">
        <f t="shared" ref="L452:L493" si="53">ROUNDUP(J452/40,0)</f>
        <v>2</v>
      </c>
      <c r="M452" s="250">
        <f t="shared" ref="M452:M493" si="54">ROUNDUP(J452/(40*4),0)</f>
        <v>1</v>
      </c>
      <c r="N452" s="251">
        <f>4*J452*'[3]Base Costs'!$B$7</f>
        <v>14992.984431313176</v>
      </c>
      <c r="O452" s="252">
        <f>4*IF(K452&lt;=3,K452*'[3]Base Costs'!$B$8,IF(L452&lt;=3,L452*'[3]Base Costs'!$B$9,'[3]Base Costs'!$B$10*M452))</f>
        <v>2800</v>
      </c>
      <c r="P452" s="252">
        <f>4*C452*'[3]Base Costs'!$B$11</f>
        <v>59400.533109000004</v>
      </c>
      <c r="Q452">
        <f>'[3]Base Costs'!$B$13+'[3]Base Costs'!$B$14</f>
        <v>414</v>
      </c>
      <c r="R452" s="239">
        <f>'[3]Base Costs'!$D$2</f>
        <v>1105.3024868650327</v>
      </c>
      <c r="S452" s="254">
        <f t="shared" ref="S452:S493" si="55">R452+Q452+N452+O452</f>
        <v>19312.286918178208</v>
      </c>
    </row>
    <row r="453" spans="1:19" x14ac:dyDescent="0.25">
      <c r="A453" s="248" t="s">
        <v>1004</v>
      </c>
      <c r="B453" s="248" t="s">
        <v>953</v>
      </c>
      <c r="C453" s="249">
        <v>45.800000000000018</v>
      </c>
      <c r="D453" s="250">
        <f>C453*'[3]Base Costs'!$B$5</f>
        <v>45.800000000000018</v>
      </c>
      <c r="E453" s="250">
        <f t="shared" si="49"/>
        <v>6</v>
      </c>
      <c r="F453" s="250">
        <f t="shared" si="50"/>
        <v>2</v>
      </c>
      <c r="G453" s="250">
        <f t="shared" si="51"/>
        <v>1</v>
      </c>
      <c r="H453" s="251">
        <f>4*D453*'[3]Base Costs'!$B$7</f>
        <v>9102.4752000000044</v>
      </c>
      <c r="I453" s="252">
        <f>4*IF(E453&lt;=3,E453*'[3]Base Costs'!$B$8,IF(F453&lt;=3,F453*'[3]Base Costs'!$B$9,'[3]Base Costs'!$B$10*G453))</f>
        <v>2800</v>
      </c>
      <c r="J453" s="253">
        <f>C453*'[3]Base Costs'!$B$6</f>
        <v>11.633200000000004</v>
      </c>
      <c r="K453" s="250">
        <f t="shared" si="52"/>
        <v>2</v>
      </c>
      <c r="L453" s="250">
        <f t="shared" si="53"/>
        <v>1</v>
      </c>
      <c r="M453" s="250">
        <f t="shared" si="54"/>
        <v>1</v>
      </c>
      <c r="N453" s="251">
        <f>4*J453*'[3]Base Costs'!$B$7</f>
        <v>2312.0287008000009</v>
      </c>
      <c r="O453" s="252">
        <f>4*IF(K453&lt;=3,K453*'[3]Base Costs'!$B$8,IF(L453&lt;=3,L453*'[3]Base Costs'!$B$9,'[3]Base Costs'!$B$10*M453))</f>
        <v>1000</v>
      </c>
      <c r="P453" s="252">
        <f>4*C453*'[3]Base Costs'!$B$11</f>
        <v>9160.0000000000036</v>
      </c>
      <c r="Q453">
        <f>'[3]Base Costs'!$B$13+'[3]Base Costs'!$B$14</f>
        <v>414</v>
      </c>
      <c r="R453" s="239">
        <f>'[3]Base Costs'!$D$2</f>
        <v>1105.3024868650327</v>
      </c>
      <c r="S453" s="254">
        <f t="shared" si="55"/>
        <v>4831.3311876650332</v>
      </c>
    </row>
    <row r="454" spans="1:19" x14ac:dyDescent="0.25">
      <c r="A454" s="248" t="s">
        <v>1004</v>
      </c>
      <c r="B454" s="248" t="s">
        <v>954</v>
      </c>
      <c r="C454" s="249">
        <v>49.714771159856973</v>
      </c>
      <c r="D454" s="250">
        <f>C454*'[3]Base Costs'!$B$5</f>
        <v>49.714771159856973</v>
      </c>
      <c r="E454" s="250">
        <f t="shared" si="49"/>
        <v>7</v>
      </c>
      <c r="F454" s="250">
        <f t="shared" si="50"/>
        <v>2</v>
      </c>
      <c r="G454" s="250">
        <f t="shared" si="51"/>
        <v>1</v>
      </c>
      <c r="H454" s="251">
        <f>4*D454*'[3]Base Costs'!$B$7</f>
        <v>9880.5124793946161</v>
      </c>
      <c r="I454" s="252">
        <f>4*IF(E454&lt;=3,E454*'[3]Base Costs'!$B$8,IF(F454&lt;=3,F454*'[3]Base Costs'!$B$9,'[3]Base Costs'!$B$10*G454))</f>
        <v>2800</v>
      </c>
      <c r="J454" s="253">
        <f>C454*'[3]Base Costs'!$B$6</f>
        <v>12.627551874603672</v>
      </c>
      <c r="K454" s="250">
        <f t="shared" si="52"/>
        <v>2</v>
      </c>
      <c r="L454" s="250">
        <f t="shared" si="53"/>
        <v>1</v>
      </c>
      <c r="M454" s="250">
        <f t="shared" si="54"/>
        <v>1</v>
      </c>
      <c r="N454" s="251">
        <f>4*J454*'[3]Base Costs'!$B$7</f>
        <v>2509.6501697662325</v>
      </c>
      <c r="O454" s="252">
        <f>4*IF(K454&lt;=3,K454*'[3]Base Costs'!$B$8,IF(L454&lt;=3,L454*'[3]Base Costs'!$B$9,'[3]Base Costs'!$B$10*M454))</f>
        <v>1000</v>
      </c>
      <c r="P454" s="252">
        <f>4*C454*'[3]Base Costs'!$B$11</f>
        <v>9942.9542319713946</v>
      </c>
      <c r="Q454">
        <f>'[3]Base Costs'!$B$13+'[3]Base Costs'!$B$14</f>
        <v>414</v>
      </c>
      <c r="R454" s="239">
        <f>'[3]Base Costs'!$D$2</f>
        <v>1105.3024868650327</v>
      </c>
      <c r="S454" s="254">
        <f t="shared" si="55"/>
        <v>5028.9526566312652</v>
      </c>
    </row>
    <row r="455" spans="1:19" x14ac:dyDescent="0.25">
      <c r="A455" s="248" t="s">
        <v>1004</v>
      </c>
      <c r="B455" s="248" t="s">
        <v>955</v>
      </c>
      <c r="C455" s="249">
        <v>109.54609439000001</v>
      </c>
      <c r="D455" s="250">
        <f>C455*'[3]Base Costs'!$B$5</f>
        <v>109.54609439000001</v>
      </c>
      <c r="E455" s="250">
        <f t="shared" si="49"/>
        <v>14</v>
      </c>
      <c r="F455" s="250">
        <f t="shared" si="50"/>
        <v>3</v>
      </c>
      <c r="G455" s="250">
        <f t="shared" si="51"/>
        <v>1</v>
      </c>
      <c r="H455" s="251">
        <f>4*D455*'[3]Base Costs'!$B$7</f>
        <v>21771.628983446164</v>
      </c>
      <c r="I455" s="252">
        <f>4*IF(E455&lt;=3,E455*'[3]Base Costs'!$B$8,IF(F455&lt;=3,F455*'[3]Base Costs'!$B$9,'[3]Base Costs'!$B$10*G455))</f>
        <v>4200</v>
      </c>
      <c r="J455" s="253">
        <f>C455*'[3]Base Costs'!$B$6</f>
        <v>27.824707975060001</v>
      </c>
      <c r="K455" s="250">
        <f t="shared" si="52"/>
        <v>4</v>
      </c>
      <c r="L455" s="250">
        <f t="shared" si="53"/>
        <v>1</v>
      </c>
      <c r="M455" s="250">
        <f t="shared" si="54"/>
        <v>1</v>
      </c>
      <c r="N455" s="251">
        <f>4*J455*'[3]Base Costs'!$B$7</f>
        <v>5529.9937617953256</v>
      </c>
      <c r="O455" s="252">
        <f>4*IF(K455&lt;=3,K455*'[3]Base Costs'!$B$8,IF(L455&lt;=3,L455*'[3]Base Costs'!$B$9,'[3]Base Costs'!$B$10*M455))</f>
        <v>1400</v>
      </c>
      <c r="P455" s="252">
        <f>4*C455*'[3]Base Costs'!$B$11</f>
        <v>21909.218878</v>
      </c>
      <c r="Q455">
        <f>'[3]Base Costs'!$B$13+'[3]Base Costs'!$B$14</f>
        <v>414</v>
      </c>
      <c r="R455" s="239">
        <f>'[3]Base Costs'!$D$2</f>
        <v>1105.3024868650327</v>
      </c>
      <c r="S455" s="254">
        <f t="shared" si="55"/>
        <v>8449.2962486603574</v>
      </c>
    </row>
    <row r="456" spans="1:19" x14ac:dyDescent="0.25">
      <c r="A456" s="248" t="s">
        <v>1004</v>
      </c>
      <c r="B456" s="248" t="s">
        <v>997</v>
      </c>
      <c r="C456" s="249">
        <v>53.301976924453463</v>
      </c>
      <c r="D456" s="250">
        <f>C456*'[3]Base Costs'!$B$5</f>
        <v>53.301976924453463</v>
      </c>
      <c r="E456" s="250">
        <f t="shared" si="49"/>
        <v>7</v>
      </c>
      <c r="F456" s="250">
        <f t="shared" si="50"/>
        <v>2</v>
      </c>
      <c r="G456" s="250">
        <f t="shared" si="51"/>
        <v>1</v>
      </c>
      <c r="H456" s="251">
        <f>4*D456*'[3]Base Costs'!$B$7</f>
        <v>10593.448101873581</v>
      </c>
      <c r="I456" s="252">
        <f>4*IF(E456&lt;=3,E456*'[3]Base Costs'!$B$8,IF(F456&lt;=3,F456*'[3]Base Costs'!$B$9,'[3]Base Costs'!$B$10*G456))</f>
        <v>2800</v>
      </c>
      <c r="J456" s="253">
        <f>C456*'[3]Base Costs'!$B$6</f>
        <v>13.53870213881118</v>
      </c>
      <c r="K456" s="250">
        <f t="shared" si="52"/>
        <v>2</v>
      </c>
      <c r="L456" s="250">
        <f t="shared" si="53"/>
        <v>1</v>
      </c>
      <c r="M456" s="250">
        <f t="shared" si="54"/>
        <v>1</v>
      </c>
      <c r="N456" s="251">
        <f>4*J456*'[3]Base Costs'!$B$7</f>
        <v>2690.7358178758896</v>
      </c>
      <c r="O456" s="252">
        <f>4*IF(K456&lt;=3,K456*'[3]Base Costs'!$B$8,IF(L456&lt;=3,L456*'[3]Base Costs'!$B$9,'[3]Base Costs'!$B$10*M456))</f>
        <v>1000</v>
      </c>
      <c r="P456" s="252">
        <f>4*C456*'[3]Base Costs'!$B$11</f>
        <v>10660.395384890693</v>
      </c>
      <c r="Q456">
        <f>'[3]Base Costs'!$B$13+'[3]Base Costs'!$B$14</f>
        <v>414</v>
      </c>
      <c r="R456" s="239">
        <f>'[3]Base Costs'!$D$2</f>
        <v>1105.3024868650327</v>
      </c>
      <c r="S456" s="254">
        <f t="shared" si="55"/>
        <v>5210.0383047409223</v>
      </c>
    </row>
    <row r="457" spans="1:19" x14ac:dyDescent="0.25">
      <c r="A457" s="248" t="s">
        <v>1004</v>
      </c>
      <c r="B457" s="248" t="s">
        <v>956</v>
      </c>
      <c r="C457" s="249">
        <v>26.985074626865668</v>
      </c>
      <c r="D457" s="250">
        <f>C457*'[3]Base Costs'!$B$5</f>
        <v>26.985074626865668</v>
      </c>
      <c r="E457" s="250">
        <f t="shared" si="49"/>
        <v>4</v>
      </c>
      <c r="F457" s="250">
        <f t="shared" si="50"/>
        <v>1</v>
      </c>
      <c r="G457" s="250">
        <f t="shared" si="51"/>
        <v>1</v>
      </c>
      <c r="H457" s="251">
        <f>4*D457*'[3]Base Costs'!$B$7</f>
        <v>5363.1216716417912</v>
      </c>
      <c r="I457" s="252">
        <f>4*IF(E457&lt;=3,E457*'[3]Base Costs'!$B$8,IF(F457&lt;=3,F457*'[3]Base Costs'!$B$9,'[3]Base Costs'!$B$10*G457))</f>
        <v>1400</v>
      </c>
      <c r="J457" s="253">
        <f>C457*'[3]Base Costs'!$B$6</f>
        <v>6.8542089552238794</v>
      </c>
      <c r="K457" s="250">
        <f t="shared" si="52"/>
        <v>1</v>
      </c>
      <c r="L457" s="250">
        <f t="shared" si="53"/>
        <v>1</v>
      </c>
      <c r="M457" s="250">
        <f t="shared" si="54"/>
        <v>1</v>
      </c>
      <c r="N457" s="251">
        <f>4*J457*'[3]Base Costs'!$B$7</f>
        <v>1362.2329045970148</v>
      </c>
      <c r="O457" s="252">
        <f>4*IF(K457&lt;=3,K457*'[3]Base Costs'!$B$8,IF(L457&lt;=3,L457*'[3]Base Costs'!$B$9,'[3]Base Costs'!$B$10*M457))</f>
        <v>500</v>
      </c>
      <c r="P457" s="252">
        <f>4*C457*'[3]Base Costs'!$B$11</f>
        <v>5397.0149253731333</v>
      </c>
      <c r="Q457">
        <f>'[3]Base Costs'!$B$13+'[3]Base Costs'!$B$14</f>
        <v>414</v>
      </c>
      <c r="R457" s="239">
        <f>'[3]Base Costs'!$D$2</f>
        <v>1105.3024868650327</v>
      </c>
      <c r="S457" s="254">
        <f t="shared" si="55"/>
        <v>3381.5353914620473</v>
      </c>
    </row>
    <row r="458" spans="1:19" x14ac:dyDescent="0.25">
      <c r="A458" s="248" t="s">
        <v>1004</v>
      </c>
      <c r="B458" s="248" t="s">
        <v>957</v>
      </c>
      <c r="C458" s="249">
        <v>119.81325738502382</v>
      </c>
      <c r="D458" s="250">
        <f>C458*'[3]Base Costs'!$B$5</f>
        <v>119.81325738502382</v>
      </c>
      <c r="E458" s="250">
        <f t="shared" si="49"/>
        <v>15</v>
      </c>
      <c r="F458" s="250">
        <f t="shared" si="50"/>
        <v>3</v>
      </c>
      <c r="G458" s="250">
        <f t="shared" si="51"/>
        <v>1</v>
      </c>
      <c r="H458" s="251">
        <f>4*D458*'[3]Base Costs'!$B$7</f>
        <v>23812.166025729177</v>
      </c>
      <c r="I458" s="252">
        <f>4*IF(E458&lt;=3,E458*'[3]Base Costs'!$B$8,IF(F458&lt;=3,F458*'[3]Base Costs'!$B$9,'[3]Base Costs'!$B$10*G458))</f>
        <v>4200</v>
      </c>
      <c r="J458" s="253">
        <f>C458*'[3]Base Costs'!$B$6</f>
        <v>30.432567375796051</v>
      </c>
      <c r="K458" s="250">
        <f t="shared" si="52"/>
        <v>4</v>
      </c>
      <c r="L458" s="250">
        <f t="shared" si="53"/>
        <v>1</v>
      </c>
      <c r="M458" s="250">
        <f t="shared" si="54"/>
        <v>1</v>
      </c>
      <c r="N458" s="251">
        <f>4*J458*'[3]Base Costs'!$B$7</f>
        <v>6048.2901705352115</v>
      </c>
      <c r="O458" s="252">
        <f>4*IF(K458&lt;=3,K458*'[3]Base Costs'!$B$8,IF(L458&lt;=3,L458*'[3]Base Costs'!$B$9,'[3]Base Costs'!$B$10*M458))</f>
        <v>1400</v>
      </c>
      <c r="P458" s="252">
        <f>4*C458*'[3]Base Costs'!$B$11</f>
        <v>23962.651477004765</v>
      </c>
      <c r="Q458">
        <f>'[3]Base Costs'!$B$13+'[3]Base Costs'!$B$14</f>
        <v>414</v>
      </c>
      <c r="R458" s="239">
        <f>'[3]Base Costs'!$D$2</f>
        <v>1105.3024868650327</v>
      </c>
      <c r="S458" s="254">
        <f t="shared" si="55"/>
        <v>8967.5926574002442</v>
      </c>
    </row>
    <row r="459" spans="1:19" x14ac:dyDescent="0.25">
      <c r="A459" s="248" t="s">
        <v>1004</v>
      </c>
      <c r="B459" s="248" t="s">
        <v>958</v>
      </c>
      <c r="C459" s="249">
        <v>202.8781516606937</v>
      </c>
      <c r="D459" s="250">
        <f>C459*'[3]Base Costs'!$B$5</f>
        <v>202.8781516606937</v>
      </c>
      <c r="E459" s="250">
        <f t="shared" si="49"/>
        <v>26</v>
      </c>
      <c r="F459" s="250">
        <f t="shared" si="50"/>
        <v>6</v>
      </c>
      <c r="G459" s="250">
        <f t="shared" si="51"/>
        <v>2</v>
      </c>
      <c r="H459" s="251">
        <f>4*D459*'[3]Base Costs'!$B$7</f>
        <v>40320.815373652913</v>
      </c>
      <c r="I459" s="252">
        <f>4*IF(E459&lt;=3,E459*'[3]Base Costs'!$B$8,IF(F459&lt;=3,F459*'[3]Base Costs'!$B$9,'[3]Base Costs'!$B$10*G459))</f>
        <v>8800</v>
      </c>
      <c r="J459" s="253">
        <f>C459*'[3]Base Costs'!$B$6</f>
        <v>51.531050521816198</v>
      </c>
      <c r="K459" s="250">
        <f t="shared" si="52"/>
        <v>7</v>
      </c>
      <c r="L459" s="250">
        <f t="shared" si="53"/>
        <v>2</v>
      </c>
      <c r="M459" s="250">
        <f t="shared" si="54"/>
        <v>1</v>
      </c>
      <c r="N459" s="251">
        <f>4*J459*'[3]Base Costs'!$B$7</f>
        <v>10241.487104907839</v>
      </c>
      <c r="O459" s="252">
        <f>4*IF(K459&lt;=3,K459*'[3]Base Costs'!$B$8,IF(L459&lt;=3,L459*'[3]Base Costs'!$B$9,'[3]Base Costs'!$B$10*M459))</f>
        <v>2800</v>
      </c>
      <c r="P459" s="252">
        <f>4*C459*'[3]Base Costs'!$B$11</f>
        <v>40575.630332138739</v>
      </c>
      <c r="Q459">
        <f>'[3]Base Costs'!$B$13+'[3]Base Costs'!$B$14</f>
        <v>414</v>
      </c>
      <c r="R459" s="239">
        <f>'[3]Base Costs'!$D$2</f>
        <v>1105.3024868650327</v>
      </c>
      <c r="S459" s="254">
        <f t="shared" si="55"/>
        <v>14560.789591772871</v>
      </c>
    </row>
    <row r="460" spans="1:19" x14ac:dyDescent="0.25">
      <c r="A460" s="248" t="s">
        <v>1004</v>
      </c>
      <c r="B460" s="248" t="s">
        <v>959</v>
      </c>
      <c r="C460" s="249">
        <v>89.019733196824646</v>
      </c>
      <c r="D460" s="250">
        <f>C460*'[3]Base Costs'!$B$5</f>
        <v>89.019733196824646</v>
      </c>
      <c r="E460" s="250">
        <f t="shared" si="49"/>
        <v>12</v>
      </c>
      <c r="F460" s="250">
        <f t="shared" si="50"/>
        <v>3</v>
      </c>
      <c r="G460" s="250">
        <f t="shared" si="51"/>
        <v>1</v>
      </c>
      <c r="H460" s="251">
        <f>4*D460*'[3]Base Costs'!$B$7</f>
        <v>17692.137854469718</v>
      </c>
      <c r="I460" s="252">
        <f>4*IF(E460&lt;=3,E460*'[3]Base Costs'!$B$8,IF(F460&lt;=3,F460*'[3]Base Costs'!$B$9,'[3]Base Costs'!$B$10*G460))</f>
        <v>4200</v>
      </c>
      <c r="J460" s="253">
        <f>C460*'[3]Base Costs'!$B$6</f>
        <v>22.61101223199346</v>
      </c>
      <c r="K460" s="250">
        <f t="shared" si="52"/>
        <v>3</v>
      </c>
      <c r="L460" s="250">
        <f t="shared" si="53"/>
        <v>1</v>
      </c>
      <c r="M460" s="250">
        <f t="shared" si="54"/>
        <v>1</v>
      </c>
      <c r="N460" s="251">
        <f>4*J460*'[3]Base Costs'!$B$7</f>
        <v>4493.8030150353088</v>
      </c>
      <c r="O460" s="252">
        <f>4*IF(K460&lt;=3,K460*'[3]Base Costs'!$B$8,IF(L460&lt;=3,L460*'[3]Base Costs'!$B$9,'[3]Base Costs'!$B$10*M460))</f>
        <v>1500</v>
      </c>
      <c r="P460" s="252">
        <f>4*C460*'[3]Base Costs'!$B$11</f>
        <v>17803.946639364931</v>
      </c>
      <c r="Q460">
        <f>'[3]Base Costs'!$B$13+'[3]Base Costs'!$B$14</f>
        <v>414</v>
      </c>
      <c r="R460" s="239">
        <f>'[3]Base Costs'!$D$2</f>
        <v>1105.3024868650327</v>
      </c>
      <c r="S460" s="254">
        <f t="shared" si="55"/>
        <v>7513.1055019003416</v>
      </c>
    </row>
    <row r="461" spans="1:19" x14ac:dyDescent="0.25">
      <c r="A461" s="248" t="s">
        <v>1004</v>
      </c>
      <c r="B461" s="248" t="s">
        <v>960</v>
      </c>
      <c r="C461" s="249">
        <v>113.65265503676936</v>
      </c>
      <c r="D461" s="250">
        <f>C461*'[3]Base Costs'!$B$5</f>
        <v>113.65265503676936</v>
      </c>
      <c r="E461" s="250">
        <f t="shared" si="49"/>
        <v>15</v>
      </c>
      <c r="F461" s="250">
        <f t="shared" si="50"/>
        <v>3</v>
      </c>
      <c r="G461" s="250">
        <f t="shared" si="51"/>
        <v>1</v>
      </c>
      <c r="H461" s="251">
        <f>4*D461*'[3]Base Costs'!$B$7</f>
        <v>22587.783272627694</v>
      </c>
      <c r="I461" s="252">
        <f>4*IF(E461&lt;=3,E461*'[3]Base Costs'!$B$8,IF(F461&lt;=3,F461*'[3]Base Costs'!$B$9,'[3]Base Costs'!$B$10*G461))</f>
        <v>4200</v>
      </c>
      <c r="J461" s="253">
        <f>C461*'[3]Base Costs'!$B$6</f>
        <v>28.867774379339419</v>
      </c>
      <c r="K461" s="250">
        <f t="shared" si="52"/>
        <v>4</v>
      </c>
      <c r="L461" s="250">
        <f t="shared" si="53"/>
        <v>1</v>
      </c>
      <c r="M461" s="250">
        <f t="shared" si="54"/>
        <v>1</v>
      </c>
      <c r="N461" s="251">
        <f>4*J461*'[3]Base Costs'!$B$7</f>
        <v>5737.2969512474347</v>
      </c>
      <c r="O461" s="252">
        <f>4*IF(K461&lt;=3,K461*'[3]Base Costs'!$B$8,IF(L461&lt;=3,L461*'[3]Base Costs'!$B$9,'[3]Base Costs'!$B$10*M461))</f>
        <v>1400</v>
      </c>
      <c r="P461" s="252">
        <f>4*C461*'[3]Base Costs'!$B$11</f>
        <v>22730.531007353871</v>
      </c>
      <c r="Q461">
        <f>'[3]Base Costs'!$B$13+'[3]Base Costs'!$B$14</f>
        <v>414</v>
      </c>
      <c r="R461" s="239">
        <f>'[3]Base Costs'!$D$2</f>
        <v>1105.3024868650327</v>
      </c>
      <c r="S461" s="254">
        <f t="shared" si="55"/>
        <v>8656.5994381124674</v>
      </c>
    </row>
    <row r="462" spans="1:19" x14ac:dyDescent="0.25">
      <c r="A462" s="248" t="s">
        <v>1004</v>
      </c>
      <c r="B462" s="248" t="s">
        <v>961</v>
      </c>
      <c r="C462" s="249">
        <v>199.61294302262849</v>
      </c>
      <c r="D462" s="250">
        <f>C462*'[3]Base Costs'!$B$5</f>
        <v>199.61294302262849</v>
      </c>
      <c r="E462" s="250">
        <f t="shared" si="49"/>
        <v>25</v>
      </c>
      <c r="F462" s="250">
        <f t="shared" si="50"/>
        <v>5</v>
      </c>
      <c r="G462" s="250">
        <f t="shared" si="51"/>
        <v>2</v>
      </c>
      <c r="H462" s="251">
        <f>4*D462*'[3]Base Costs'!$B$7</f>
        <v>39671.874748089278</v>
      </c>
      <c r="I462" s="252">
        <f>4*IF(E462&lt;=3,E462*'[3]Base Costs'!$B$8,IF(F462&lt;=3,F462*'[3]Base Costs'!$B$9,'[3]Base Costs'!$B$10*G462))</f>
        <v>8800</v>
      </c>
      <c r="J462" s="253">
        <f>C462*'[3]Base Costs'!$B$6</f>
        <v>50.701687527747637</v>
      </c>
      <c r="K462" s="250">
        <f t="shared" si="52"/>
        <v>7</v>
      </c>
      <c r="L462" s="250">
        <f t="shared" si="53"/>
        <v>2</v>
      </c>
      <c r="M462" s="250">
        <f t="shared" si="54"/>
        <v>1</v>
      </c>
      <c r="N462" s="251">
        <f>4*J462*'[3]Base Costs'!$B$7</f>
        <v>10076.656186014678</v>
      </c>
      <c r="O462" s="252">
        <f>4*IF(K462&lt;=3,K462*'[3]Base Costs'!$B$8,IF(L462&lt;=3,L462*'[3]Base Costs'!$B$9,'[3]Base Costs'!$B$10*M462))</f>
        <v>2800</v>
      </c>
      <c r="P462" s="252">
        <f>4*C462*'[3]Base Costs'!$B$11</f>
        <v>39922.588604525699</v>
      </c>
      <c r="Q462">
        <f>'[3]Base Costs'!$B$13+'[3]Base Costs'!$B$14</f>
        <v>414</v>
      </c>
      <c r="R462" s="239">
        <f>'[3]Base Costs'!$D$2</f>
        <v>1105.3024868650327</v>
      </c>
      <c r="S462" s="254">
        <f t="shared" si="55"/>
        <v>14395.958672879711</v>
      </c>
    </row>
    <row r="463" spans="1:19" x14ac:dyDescent="0.25">
      <c r="A463" s="248" t="s">
        <v>1004</v>
      </c>
      <c r="B463" s="248" t="s">
        <v>962</v>
      </c>
      <c r="C463" s="249">
        <v>181.30770959396034</v>
      </c>
      <c r="D463" s="250">
        <f>C463*'[3]Base Costs'!$B$5</f>
        <v>181.30770959396034</v>
      </c>
      <c r="E463" s="250">
        <f t="shared" si="49"/>
        <v>23</v>
      </c>
      <c r="F463" s="250">
        <f t="shared" si="50"/>
        <v>5</v>
      </c>
      <c r="G463" s="250">
        <f t="shared" si="51"/>
        <v>2</v>
      </c>
      <c r="H463" s="251">
        <f>4*D463*'[3]Base Costs'!$B$7</f>
        <v>36033.819435542056</v>
      </c>
      <c r="I463" s="252">
        <f>4*IF(E463&lt;=3,E463*'[3]Base Costs'!$B$8,IF(F463&lt;=3,F463*'[3]Base Costs'!$B$9,'[3]Base Costs'!$B$10*G463))</f>
        <v>8800</v>
      </c>
      <c r="J463" s="253">
        <f>C463*'[3]Base Costs'!$B$6</f>
        <v>46.052158236865928</v>
      </c>
      <c r="K463" s="250">
        <f t="shared" si="52"/>
        <v>6</v>
      </c>
      <c r="L463" s="250">
        <f t="shared" si="53"/>
        <v>2</v>
      </c>
      <c r="M463" s="250">
        <f t="shared" si="54"/>
        <v>1</v>
      </c>
      <c r="N463" s="251">
        <f>4*J463*'[3]Base Costs'!$B$7</f>
        <v>9152.590136627683</v>
      </c>
      <c r="O463" s="252">
        <f>4*IF(K463&lt;=3,K463*'[3]Base Costs'!$B$8,IF(L463&lt;=3,L463*'[3]Base Costs'!$B$9,'[3]Base Costs'!$B$10*M463))</f>
        <v>2800</v>
      </c>
      <c r="P463" s="252">
        <f>4*C463*'[3]Base Costs'!$B$11</f>
        <v>36261.541918792071</v>
      </c>
      <c r="Q463">
        <f>'[3]Base Costs'!$B$13+'[3]Base Costs'!$B$14</f>
        <v>414</v>
      </c>
      <c r="R463" s="239">
        <f>'[3]Base Costs'!$D$2</f>
        <v>1105.3024868650327</v>
      </c>
      <c r="S463" s="254">
        <f t="shared" si="55"/>
        <v>13471.892623492717</v>
      </c>
    </row>
    <row r="464" spans="1:19" x14ac:dyDescent="0.25">
      <c r="A464" s="248" t="s">
        <v>1004</v>
      </c>
      <c r="B464" s="248" t="s">
        <v>963</v>
      </c>
      <c r="C464" s="249">
        <v>105.08594276661904</v>
      </c>
      <c r="D464" s="250">
        <f>C464*'[3]Base Costs'!$B$5</f>
        <v>105.08594276661904</v>
      </c>
      <c r="E464" s="250">
        <f t="shared" si="49"/>
        <v>14</v>
      </c>
      <c r="F464" s="250">
        <f t="shared" si="50"/>
        <v>3</v>
      </c>
      <c r="G464" s="250">
        <f t="shared" si="51"/>
        <v>1</v>
      </c>
      <c r="H464" s="251">
        <f>4*D464*'[3]Base Costs'!$B$7</f>
        <v>20885.200609208936</v>
      </c>
      <c r="I464" s="252">
        <f>4*IF(E464&lt;=3,E464*'[3]Base Costs'!$B$8,IF(F464&lt;=3,F464*'[3]Base Costs'!$B$9,'[3]Base Costs'!$B$10*G464))</f>
        <v>4200</v>
      </c>
      <c r="J464" s="253">
        <f>C464*'[3]Base Costs'!$B$6</f>
        <v>26.691829462721238</v>
      </c>
      <c r="K464" s="250">
        <f t="shared" si="52"/>
        <v>4</v>
      </c>
      <c r="L464" s="250">
        <f t="shared" si="53"/>
        <v>1</v>
      </c>
      <c r="M464" s="250">
        <f t="shared" si="54"/>
        <v>1</v>
      </c>
      <c r="N464" s="251">
        <f>4*J464*'[3]Base Costs'!$B$7</f>
        <v>5304.8409547390702</v>
      </c>
      <c r="O464" s="252">
        <f>4*IF(K464&lt;=3,K464*'[3]Base Costs'!$B$8,IF(L464&lt;=3,L464*'[3]Base Costs'!$B$9,'[3]Base Costs'!$B$10*M464))</f>
        <v>1400</v>
      </c>
      <c r="P464" s="252">
        <f>4*C464*'[3]Base Costs'!$B$11</f>
        <v>21017.188553323809</v>
      </c>
      <c r="Q464">
        <f>'[3]Base Costs'!$B$13+'[3]Base Costs'!$B$14</f>
        <v>414</v>
      </c>
      <c r="R464" s="239">
        <f>'[3]Base Costs'!$D$2</f>
        <v>1105.3024868650327</v>
      </c>
      <c r="S464" s="254">
        <f t="shared" si="55"/>
        <v>8224.1434416041029</v>
      </c>
    </row>
    <row r="465" spans="1:19" x14ac:dyDescent="0.25">
      <c r="A465" s="248" t="s">
        <v>1004</v>
      </c>
      <c r="B465" s="248" t="s">
        <v>964</v>
      </c>
      <c r="C465" s="249">
        <v>4.9230769230769234</v>
      </c>
      <c r="D465" s="250">
        <f>C465*'[3]Base Costs'!$B$5</f>
        <v>4.9230769230769234</v>
      </c>
      <c r="E465" s="250">
        <f t="shared" si="49"/>
        <v>1</v>
      </c>
      <c r="F465" s="250">
        <f t="shared" si="50"/>
        <v>1</v>
      </c>
      <c r="G465" s="250">
        <f t="shared" si="51"/>
        <v>1</v>
      </c>
      <c r="H465" s="251">
        <f>4*D465*'[3]Base Costs'!$B$7</f>
        <v>978.43200000000024</v>
      </c>
      <c r="I465" s="252">
        <f>4*IF(E465&lt;=3,E465*'[3]Base Costs'!$B$8,IF(F465&lt;=3,F465*'[3]Base Costs'!$B$9,'[3]Base Costs'!$B$10*G465))</f>
        <v>500</v>
      </c>
      <c r="J465" s="253">
        <f>C465*'[3]Base Costs'!$B$6</f>
        <v>1.2504615384615385</v>
      </c>
      <c r="K465" s="250">
        <f t="shared" si="52"/>
        <v>1</v>
      </c>
      <c r="L465" s="250">
        <f t="shared" si="53"/>
        <v>1</v>
      </c>
      <c r="M465" s="250">
        <f t="shared" si="54"/>
        <v>1</v>
      </c>
      <c r="N465" s="251">
        <f>4*J465*'[3]Base Costs'!$B$7</f>
        <v>248.52172800000005</v>
      </c>
      <c r="O465" s="252">
        <f>4*IF(K465&lt;=3,K465*'[3]Base Costs'!$B$8,IF(L465&lt;=3,L465*'[3]Base Costs'!$B$9,'[3]Base Costs'!$B$10*M465))</f>
        <v>500</v>
      </c>
      <c r="P465" s="252">
        <f>4*C465*'[3]Base Costs'!$B$11</f>
        <v>984.61538461538464</v>
      </c>
      <c r="Q465">
        <f>'[3]Base Costs'!$B$13+'[3]Base Costs'!$B$14</f>
        <v>414</v>
      </c>
      <c r="R465" s="239">
        <f>'[3]Base Costs'!$D$2</f>
        <v>1105.3024868650327</v>
      </c>
      <c r="S465" s="254">
        <f t="shared" si="55"/>
        <v>2267.8242148650329</v>
      </c>
    </row>
    <row r="466" spans="1:19" x14ac:dyDescent="0.25">
      <c r="A466" s="248" t="s">
        <v>1004</v>
      </c>
      <c r="B466" s="248" t="s">
        <v>998</v>
      </c>
      <c r="C466" s="249">
        <v>106.60473222156224</v>
      </c>
      <c r="D466" s="250">
        <f>C466*'[3]Base Costs'!$B$5</f>
        <v>106.60473222156224</v>
      </c>
      <c r="E466" s="250">
        <f t="shared" si="49"/>
        <v>14</v>
      </c>
      <c r="F466" s="250">
        <f t="shared" si="50"/>
        <v>3</v>
      </c>
      <c r="G466" s="250">
        <f t="shared" si="51"/>
        <v>1</v>
      </c>
      <c r="H466" s="251">
        <f>4*D466*'[3]Base Costs'!$B$7</f>
        <v>21187.050900642171</v>
      </c>
      <c r="I466" s="252">
        <f>4*IF(E466&lt;=3,E466*'[3]Base Costs'!$B$8,IF(F466&lt;=3,F466*'[3]Base Costs'!$B$9,'[3]Base Costs'!$B$10*G466))</f>
        <v>4200</v>
      </c>
      <c r="J466" s="253">
        <f>C466*'[3]Base Costs'!$B$6</f>
        <v>27.077601984276811</v>
      </c>
      <c r="K466" s="250">
        <f t="shared" si="52"/>
        <v>4</v>
      </c>
      <c r="L466" s="250">
        <f t="shared" si="53"/>
        <v>1</v>
      </c>
      <c r="M466" s="250">
        <f t="shared" si="54"/>
        <v>1</v>
      </c>
      <c r="N466" s="251">
        <f>4*J466*'[3]Base Costs'!$B$7</f>
        <v>5381.5109287631112</v>
      </c>
      <c r="O466" s="252">
        <f>4*IF(K466&lt;=3,K466*'[3]Base Costs'!$B$8,IF(L466&lt;=3,L466*'[3]Base Costs'!$B$9,'[3]Base Costs'!$B$10*M466))</f>
        <v>1400</v>
      </c>
      <c r="P466" s="252">
        <f>4*C466*'[3]Base Costs'!$B$11</f>
        <v>21320.946444312449</v>
      </c>
      <c r="Q466">
        <f>'[3]Base Costs'!$B$13+'[3]Base Costs'!$B$14</f>
        <v>414</v>
      </c>
      <c r="R466" s="239">
        <f>'[3]Base Costs'!$D$2</f>
        <v>1105.3024868650327</v>
      </c>
      <c r="S466" s="254">
        <f t="shared" si="55"/>
        <v>8300.8134156281449</v>
      </c>
    </row>
    <row r="467" spans="1:19" x14ac:dyDescent="0.25">
      <c r="A467" s="248" t="s">
        <v>1004</v>
      </c>
      <c r="B467" s="248" t="s">
        <v>999</v>
      </c>
      <c r="C467" s="249">
        <v>144.99973137000001</v>
      </c>
      <c r="D467" s="250">
        <f>C467*'[3]Base Costs'!$B$5</f>
        <v>144.99973137000001</v>
      </c>
      <c r="E467" s="250">
        <f t="shared" si="49"/>
        <v>19</v>
      </c>
      <c r="F467" s="250">
        <f t="shared" si="50"/>
        <v>4</v>
      </c>
      <c r="G467" s="250">
        <f t="shared" si="51"/>
        <v>1</v>
      </c>
      <c r="H467" s="251">
        <f>4*D467*'[3]Base Costs'!$B$7</f>
        <v>28817.826611399287</v>
      </c>
      <c r="I467" s="252">
        <f>4*IF(E467&lt;=3,E467*'[3]Base Costs'!$B$8,IF(F467&lt;=3,F467*'[3]Base Costs'!$B$9,'[3]Base Costs'!$B$10*G467))</f>
        <v>4400</v>
      </c>
      <c r="J467" s="253">
        <f>C467*'[3]Base Costs'!$B$6</f>
        <v>36.82993176798</v>
      </c>
      <c r="K467" s="250">
        <f t="shared" si="52"/>
        <v>5</v>
      </c>
      <c r="L467" s="250">
        <f t="shared" si="53"/>
        <v>1</v>
      </c>
      <c r="M467" s="250">
        <f t="shared" si="54"/>
        <v>1</v>
      </c>
      <c r="N467" s="251">
        <f>4*J467*'[3]Base Costs'!$B$7</f>
        <v>7319.7279592954183</v>
      </c>
      <c r="O467" s="252">
        <f>4*IF(K467&lt;=3,K467*'[3]Base Costs'!$B$8,IF(L467&lt;=3,L467*'[3]Base Costs'!$B$9,'[3]Base Costs'!$B$10*M467))</f>
        <v>1400</v>
      </c>
      <c r="P467" s="252">
        <f>4*C467*'[3]Base Costs'!$B$11</f>
        <v>28999.946274000002</v>
      </c>
      <c r="Q467">
        <f>'[3]Base Costs'!$B$13+'[3]Base Costs'!$B$14</f>
        <v>414</v>
      </c>
      <c r="R467" s="239">
        <f>'[3]Base Costs'!$D$2</f>
        <v>1105.3024868650327</v>
      </c>
      <c r="S467" s="254">
        <f t="shared" si="55"/>
        <v>10239.03044616045</v>
      </c>
    </row>
    <row r="468" spans="1:19" x14ac:dyDescent="0.25">
      <c r="A468" s="248" t="s">
        <v>1004</v>
      </c>
      <c r="B468" s="248" t="s">
        <v>965</v>
      </c>
      <c r="C468" s="249">
        <v>219.71742137532286</v>
      </c>
      <c r="D468" s="250">
        <f>C468*'[3]Base Costs'!$B$5</f>
        <v>219.71742137532286</v>
      </c>
      <c r="E468" s="250">
        <f t="shared" si="49"/>
        <v>28</v>
      </c>
      <c r="F468" s="250">
        <f t="shared" si="50"/>
        <v>6</v>
      </c>
      <c r="G468" s="250">
        <f t="shared" si="51"/>
        <v>2</v>
      </c>
      <c r="H468" s="251">
        <f>4*D468*'[3]Base Costs'!$B$7</f>
        <v>43667.51919381717</v>
      </c>
      <c r="I468" s="252">
        <f>4*IF(E468&lt;=3,E468*'[3]Base Costs'!$B$8,IF(F468&lt;=3,F468*'[3]Base Costs'!$B$9,'[3]Base Costs'!$B$10*G468))</f>
        <v>8800</v>
      </c>
      <c r="J468" s="253">
        <f>C468*'[3]Base Costs'!$B$6</f>
        <v>55.808225029332007</v>
      </c>
      <c r="K468" s="250">
        <f t="shared" si="52"/>
        <v>7</v>
      </c>
      <c r="L468" s="250">
        <f t="shared" si="53"/>
        <v>2</v>
      </c>
      <c r="M468" s="250">
        <f t="shared" si="54"/>
        <v>1</v>
      </c>
      <c r="N468" s="251">
        <f>4*J468*'[3]Base Costs'!$B$7</f>
        <v>11091.549875229563</v>
      </c>
      <c r="O468" s="252">
        <f>4*IF(K468&lt;=3,K468*'[3]Base Costs'!$B$8,IF(L468&lt;=3,L468*'[3]Base Costs'!$B$9,'[3]Base Costs'!$B$10*M468))</f>
        <v>2800</v>
      </c>
      <c r="P468" s="252">
        <f>4*C468*'[3]Base Costs'!$B$11</f>
        <v>43943.484275064569</v>
      </c>
      <c r="Q468">
        <f>'[3]Base Costs'!$B$13+'[3]Base Costs'!$B$14</f>
        <v>414</v>
      </c>
      <c r="R468" s="239">
        <f>'[3]Base Costs'!$D$2</f>
        <v>1105.3024868650327</v>
      </c>
      <c r="S468" s="254">
        <f t="shared" si="55"/>
        <v>15410.852362094596</v>
      </c>
    </row>
    <row r="469" spans="1:19" x14ac:dyDescent="0.25">
      <c r="A469" s="248" t="s">
        <v>1004</v>
      </c>
      <c r="B469" s="248" t="s">
        <v>966</v>
      </c>
      <c r="C469" s="249">
        <v>141.83346825488971</v>
      </c>
      <c r="D469" s="250">
        <f>C469*'[3]Base Costs'!$B$5</f>
        <v>141.83346825488971</v>
      </c>
      <c r="E469" s="250">
        <f t="shared" si="49"/>
        <v>18</v>
      </c>
      <c r="F469" s="250">
        <f t="shared" si="50"/>
        <v>4</v>
      </c>
      <c r="G469" s="250">
        <f t="shared" si="51"/>
        <v>1</v>
      </c>
      <c r="H469" s="251">
        <f>4*D469*'[3]Base Costs'!$B$7</f>
        <v>28188.550814849805</v>
      </c>
      <c r="I469" s="252">
        <f>4*IF(E469&lt;=3,E469*'[3]Base Costs'!$B$8,IF(F469&lt;=3,F469*'[3]Base Costs'!$B$9,'[3]Base Costs'!$B$10*G469))</f>
        <v>4400</v>
      </c>
      <c r="J469" s="253">
        <f>C469*'[3]Base Costs'!$B$6</f>
        <v>36.025700936741984</v>
      </c>
      <c r="K469" s="250">
        <f t="shared" si="52"/>
        <v>5</v>
      </c>
      <c r="L469" s="250">
        <f t="shared" si="53"/>
        <v>1</v>
      </c>
      <c r="M469" s="250">
        <f t="shared" si="54"/>
        <v>1</v>
      </c>
      <c r="N469" s="251">
        <f>4*J469*'[3]Base Costs'!$B$7</f>
        <v>7159.8919069718495</v>
      </c>
      <c r="O469" s="252">
        <f>4*IF(K469&lt;=3,K469*'[3]Base Costs'!$B$8,IF(L469&lt;=3,L469*'[3]Base Costs'!$B$9,'[3]Base Costs'!$B$10*M469))</f>
        <v>1400</v>
      </c>
      <c r="P469" s="252">
        <f>4*C469*'[3]Base Costs'!$B$11</f>
        <v>28366.693650977941</v>
      </c>
      <c r="Q469">
        <f>'[3]Base Costs'!$B$13+'[3]Base Costs'!$B$14</f>
        <v>414</v>
      </c>
      <c r="R469" s="239">
        <f>'[3]Base Costs'!$D$2</f>
        <v>1105.3024868650327</v>
      </c>
      <c r="S469" s="254">
        <f t="shared" si="55"/>
        <v>10079.194393836882</v>
      </c>
    </row>
    <row r="470" spans="1:19" x14ac:dyDescent="0.25">
      <c r="A470" s="248" t="s">
        <v>1004</v>
      </c>
      <c r="B470" s="248" t="s">
        <v>967</v>
      </c>
      <c r="C470" s="249">
        <v>116.19996586589677</v>
      </c>
      <c r="D470" s="250">
        <f>C470*'[3]Base Costs'!$B$5</f>
        <v>116.19996586589677</v>
      </c>
      <c r="E470" s="250">
        <f t="shared" si="49"/>
        <v>15</v>
      </c>
      <c r="F470" s="250">
        <f t="shared" si="50"/>
        <v>3</v>
      </c>
      <c r="G470" s="250">
        <f t="shared" si="51"/>
        <v>1</v>
      </c>
      <c r="H470" s="251">
        <f>4*D470*'[3]Base Costs'!$B$7</f>
        <v>23094.046016051791</v>
      </c>
      <c r="I470" s="252">
        <f>4*IF(E470&lt;=3,E470*'[3]Base Costs'!$B$8,IF(F470&lt;=3,F470*'[3]Base Costs'!$B$9,'[3]Base Costs'!$B$10*G470))</f>
        <v>4200</v>
      </c>
      <c r="J470" s="253">
        <f>C470*'[3]Base Costs'!$B$6</f>
        <v>29.514791329937779</v>
      </c>
      <c r="K470" s="250">
        <f t="shared" si="52"/>
        <v>4</v>
      </c>
      <c r="L470" s="250">
        <f t="shared" si="53"/>
        <v>1</v>
      </c>
      <c r="M470" s="250">
        <f t="shared" si="54"/>
        <v>1</v>
      </c>
      <c r="N470" s="251">
        <f>4*J470*'[3]Base Costs'!$B$7</f>
        <v>5865.887688077155</v>
      </c>
      <c r="O470" s="252">
        <f>4*IF(K470&lt;=3,K470*'[3]Base Costs'!$B$8,IF(L470&lt;=3,L470*'[3]Base Costs'!$B$9,'[3]Base Costs'!$B$10*M470))</f>
        <v>1400</v>
      </c>
      <c r="P470" s="252">
        <f>4*C470*'[3]Base Costs'!$B$11</f>
        <v>23239.993173179355</v>
      </c>
      <c r="Q470">
        <f>'[3]Base Costs'!$B$13+'[3]Base Costs'!$B$14</f>
        <v>414</v>
      </c>
      <c r="R470" s="239">
        <f>'[3]Base Costs'!$D$2</f>
        <v>1105.3024868650327</v>
      </c>
      <c r="S470" s="254">
        <f t="shared" si="55"/>
        <v>8785.1901749421886</v>
      </c>
    </row>
    <row r="471" spans="1:19" x14ac:dyDescent="0.25">
      <c r="A471" s="248" t="s">
        <v>1004</v>
      </c>
      <c r="B471" s="248" t="s">
        <v>968</v>
      </c>
      <c r="C471" s="249">
        <v>67.422293480204232</v>
      </c>
      <c r="D471" s="250">
        <f>C471*'[3]Base Costs'!$B$5</f>
        <v>67.422293480204232</v>
      </c>
      <c r="E471" s="250">
        <f t="shared" si="49"/>
        <v>9</v>
      </c>
      <c r="F471" s="250">
        <f t="shared" si="50"/>
        <v>2</v>
      </c>
      <c r="G471" s="250">
        <f t="shared" si="51"/>
        <v>1</v>
      </c>
      <c r="H471" s="251">
        <f>4*D471*'[3]Base Costs'!$B$7</f>
        <v>13399.776295429712</v>
      </c>
      <c r="I471" s="252">
        <f>4*IF(E471&lt;=3,E471*'[3]Base Costs'!$B$8,IF(F471&lt;=3,F471*'[3]Base Costs'!$B$9,'[3]Base Costs'!$B$10*G471))</f>
        <v>2800</v>
      </c>
      <c r="J471" s="253">
        <f>C471*'[3]Base Costs'!$B$6</f>
        <v>17.125262543971875</v>
      </c>
      <c r="K471" s="250">
        <f t="shared" si="52"/>
        <v>3</v>
      </c>
      <c r="L471" s="250">
        <f t="shared" si="53"/>
        <v>1</v>
      </c>
      <c r="M471" s="250">
        <f t="shared" si="54"/>
        <v>1</v>
      </c>
      <c r="N471" s="251">
        <f>4*J471*'[3]Base Costs'!$B$7</f>
        <v>3403.5431790391467</v>
      </c>
      <c r="O471" s="252">
        <f>4*IF(K471&lt;=3,K471*'[3]Base Costs'!$B$8,IF(L471&lt;=3,L471*'[3]Base Costs'!$B$9,'[3]Base Costs'!$B$10*M471))</f>
        <v>1500</v>
      </c>
      <c r="P471" s="252">
        <f>4*C471*'[3]Base Costs'!$B$11</f>
        <v>13484.458696040847</v>
      </c>
      <c r="Q471">
        <f>'[3]Base Costs'!$B$13+'[3]Base Costs'!$B$14</f>
        <v>414</v>
      </c>
      <c r="R471" s="239">
        <f>'[3]Base Costs'!$D$2</f>
        <v>1105.3024868650327</v>
      </c>
      <c r="S471" s="254">
        <f t="shared" si="55"/>
        <v>6422.8456659041794</v>
      </c>
    </row>
    <row r="472" spans="1:19" x14ac:dyDescent="0.25">
      <c r="A472" s="248" t="s">
        <v>1004</v>
      </c>
      <c r="B472" s="248" t="s">
        <v>1000</v>
      </c>
      <c r="C472" s="249">
        <v>76.047058823529412</v>
      </c>
      <c r="D472" s="250">
        <f>C472*'[3]Base Costs'!$B$5</f>
        <v>76.047058823529412</v>
      </c>
      <c r="E472" s="250">
        <f t="shared" si="49"/>
        <v>10</v>
      </c>
      <c r="F472" s="250">
        <f t="shared" si="50"/>
        <v>2</v>
      </c>
      <c r="G472" s="250">
        <f t="shared" si="51"/>
        <v>1</v>
      </c>
      <c r="H472" s="251">
        <f>4*D472*'[3]Base Costs'!$B$7</f>
        <v>15113.896658823531</v>
      </c>
      <c r="I472" s="252">
        <f>4*IF(E472&lt;=3,E472*'[3]Base Costs'!$B$8,IF(F472&lt;=3,F472*'[3]Base Costs'!$B$9,'[3]Base Costs'!$B$10*G472))</f>
        <v>2800</v>
      </c>
      <c r="J472" s="253">
        <f>C472*'[3]Base Costs'!$B$6</f>
        <v>19.315952941176469</v>
      </c>
      <c r="K472" s="250">
        <f t="shared" si="52"/>
        <v>3</v>
      </c>
      <c r="L472" s="250">
        <f t="shared" si="53"/>
        <v>1</v>
      </c>
      <c r="M472" s="250">
        <f t="shared" si="54"/>
        <v>1</v>
      </c>
      <c r="N472" s="251">
        <f>4*J472*'[3]Base Costs'!$B$7</f>
        <v>3838.9297513411766</v>
      </c>
      <c r="O472" s="252">
        <f>4*IF(K472&lt;=3,K472*'[3]Base Costs'!$B$8,IF(L472&lt;=3,L472*'[3]Base Costs'!$B$9,'[3]Base Costs'!$B$10*M472))</f>
        <v>1500</v>
      </c>
      <c r="P472" s="252">
        <f>4*C472*'[3]Base Costs'!$B$11</f>
        <v>15209.411764705883</v>
      </c>
      <c r="Q472">
        <f>'[3]Base Costs'!$B$13+'[3]Base Costs'!$B$14</f>
        <v>414</v>
      </c>
      <c r="R472" s="239">
        <f>'[3]Base Costs'!$D$2</f>
        <v>1105.3024868650327</v>
      </c>
      <c r="S472" s="254">
        <f t="shared" si="55"/>
        <v>6858.2322382062093</v>
      </c>
    </row>
    <row r="473" spans="1:19" x14ac:dyDescent="0.25">
      <c r="A473" s="248" t="s">
        <v>1004</v>
      </c>
      <c r="B473" s="248" t="s">
        <v>969</v>
      </c>
      <c r="C473" s="249">
        <v>123.22471910112358</v>
      </c>
      <c r="D473" s="250">
        <f>C473*'[3]Base Costs'!$B$5</f>
        <v>123.22471910112358</v>
      </c>
      <c r="E473" s="250">
        <f t="shared" si="49"/>
        <v>16</v>
      </c>
      <c r="F473" s="250">
        <f t="shared" si="50"/>
        <v>4</v>
      </c>
      <c r="G473" s="250">
        <f t="shared" si="51"/>
        <v>1</v>
      </c>
      <c r="H473" s="251">
        <f>4*D473*'[3]Base Costs'!$B$7</f>
        <v>24490.17357303371</v>
      </c>
      <c r="I473" s="252">
        <f>4*IF(E473&lt;=3,E473*'[3]Base Costs'!$B$8,IF(F473&lt;=3,F473*'[3]Base Costs'!$B$9,'[3]Base Costs'!$B$10*G473))</f>
        <v>4400</v>
      </c>
      <c r="J473" s="253">
        <f>C473*'[3]Base Costs'!$B$6</f>
        <v>31.299078651685392</v>
      </c>
      <c r="K473" s="250">
        <f t="shared" si="52"/>
        <v>4</v>
      </c>
      <c r="L473" s="250">
        <f t="shared" si="53"/>
        <v>1</v>
      </c>
      <c r="M473" s="250">
        <f t="shared" si="54"/>
        <v>1</v>
      </c>
      <c r="N473" s="251">
        <f>4*J473*'[3]Base Costs'!$B$7</f>
        <v>6220.504087550562</v>
      </c>
      <c r="O473" s="252">
        <f>4*IF(K473&lt;=3,K473*'[3]Base Costs'!$B$8,IF(L473&lt;=3,L473*'[3]Base Costs'!$B$9,'[3]Base Costs'!$B$10*M473))</f>
        <v>1400</v>
      </c>
      <c r="P473" s="252">
        <f>4*C473*'[3]Base Costs'!$B$11</f>
        <v>24644.943820224718</v>
      </c>
      <c r="Q473">
        <f>'[3]Base Costs'!$B$13+'[3]Base Costs'!$B$14</f>
        <v>414</v>
      </c>
      <c r="R473" s="239">
        <f>'[3]Base Costs'!$D$2</f>
        <v>1105.3024868650327</v>
      </c>
      <c r="S473" s="254">
        <f t="shared" si="55"/>
        <v>9139.8065744155938</v>
      </c>
    </row>
    <row r="474" spans="1:19" x14ac:dyDescent="0.25">
      <c r="A474" s="248" t="s">
        <v>1004</v>
      </c>
      <c r="B474" s="248" t="s">
        <v>970</v>
      </c>
      <c r="C474" s="249">
        <v>605.396613481803</v>
      </c>
      <c r="D474" s="250">
        <f>C474*'[3]Base Costs'!$B$5</f>
        <v>605.396613481803</v>
      </c>
      <c r="E474" s="250">
        <f t="shared" si="49"/>
        <v>76</v>
      </c>
      <c r="F474" s="250">
        <f t="shared" si="50"/>
        <v>16</v>
      </c>
      <c r="G474" s="250">
        <f t="shared" si="51"/>
        <v>4</v>
      </c>
      <c r="H474" s="251">
        <f>4*D474*'[3]Base Costs'!$B$7</f>
        <v>120318.94454982747</v>
      </c>
      <c r="I474" s="252">
        <f>4*IF(E474&lt;=3,E474*'[3]Base Costs'!$B$8,IF(F474&lt;=3,F474*'[3]Base Costs'!$B$9,'[3]Base Costs'!$B$10*G474))</f>
        <v>17600</v>
      </c>
      <c r="J474" s="253">
        <f>C474*'[3]Base Costs'!$B$6</f>
        <v>153.77073982437796</v>
      </c>
      <c r="K474" s="250">
        <f t="shared" si="52"/>
        <v>20</v>
      </c>
      <c r="L474" s="250">
        <f t="shared" si="53"/>
        <v>4</v>
      </c>
      <c r="M474" s="250">
        <f t="shared" si="54"/>
        <v>1</v>
      </c>
      <c r="N474" s="251">
        <f>4*J474*'[3]Base Costs'!$B$7</f>
        <v>30561.011915656178</v>
      </c>
      <c r="O474" s="252">
        <f>4*IF(K474&lt;=3,K474*'[3]Base Costs'!$B$8,IF(L474&lt;=3,L474*'[3]Base Costs'!$B$9,'[3]Base Costs'!$B$10*M474))</f>
        <v>4400</v>
      </c>
      <c r="P474" s="252">
        <f>4*C474*'[3]Base Costs'!$B$11</f>
        <v>121079.3226963606</v>
      </c>
      <c r="Q474">
        <f>'[3]Base Costs'!$B$13+'[3]Base Costs'!$B$14</f>
        <v>414</v>
      </c>
      <c r="R474" s="239">
        <f>'[3]Base Costs'!$D$2</f>
        <v>1105.3024868650327</v>
      </c>
      <c r="S474" s="254">
        <f t="shared" si="55"/>
        <v>36480.31440252121</v>
      </c>
    </row>
    <row r="475" spans="1:19" x14ac:dyDescent="0.25">
      <c r="A475" s="248" t="s">
        <v>1004</v>
      </c>
      <c r="B475" s="248" t="s">
        <v>971</v>
      </c>
      <c r="C475" s="249">
        <v>106.34605791541327</v>
      </c>
      <c r="D475" s="250">
        <f>C475*'[3]Base Costs'!$B$5</f>
        <v>106.34605791541327</v>
      </c>
      <c r="E475" s="250">
        <f t="shared" si="49"/>
        <v>14</v>
      </c>
      <c r="F475" s="250">
        <f t="shared" si="50"/>
        <v>3</v>
      </c>
      <c r="G475" s="250">
        <f t="shared" si="51"/>
        <v>1</v>
      </c>
      <c r="H475" s="251">
        <f>4*D475*'[3]Base Costs'!$B$7</f>
        <v>21135.640934340896</v>
      </c>
      <c r="I475" s="252">
        <f>4*IF(E475&lt;=3,E475*'[3]Base Costs'!$B$8,IF(F475&lt;=3,F475*'[3]Base Costs'!$B$9,'[3]Base Costs'!$B$10*G475))</f>
        <v>4200</v>
      </c>
      <c r="J475" s="253">
        <f>C475*'[3]Base Costs'!$B$6</f>
        <v>27.01189871051497</v>
      </c>
      <c r="K475" s="250">
        <f t="shared" si="52"/>
        <v>4</v>
      </c>
      <c r="L475" s="250">
        <f t="shared" si="53"/>
        <v>1</v>
      </c>
      <c r="M475" s="250">
        <f t="shared" si="54"/>
        <v>1</v>
      </c>
      <c r="N475" s="251">
        <f>4*J475*'[3]Base Costs'!$B$7</f>
        <v>5368.4527973225877</v>
      </c>
      <c r="O475" s="252">
        <f>4*IF(K475&lt;=3,K475*'[3]Base Costs'!$B$8,IF(L475&lt;=3,L475*'[3]Base Costs'!$B$9,'[3]Base Costs'!$B$10*M475))</f>
        <v>1400</v>
      </c>
      <c r="P475" s="252">
        <f>4*C475*'[3]Base Costs'!$B$11</f>
        <v>21269.211583082655</v>
      </c>
      <c r="Q475">
        <f>'[3]Base Costs'!$B$13+'[3]Base Costs'!$B$14</f>
        <v>414</v>
      </c>
      <c r="R475" s="239">
        <f>'[3]Base Costs'!$D$2</f>
        <v>1105.3024868650327</v>
      </c>
      <c r="S475" s="254">
        <f t="shared" si="55"/>
        <v>8287.7552841876204</v>
      </c>
    </row>
    <row r="476" spans="1:19" x14ac:dyDescent="0.25">
      <c r="A476" s="248" t="s">
        <v>1004</v>
      </c>
      <c r="B476" s="248" t="s">
        <v>972</v>
      </c>
      <c r="C476" s="249">
        <v>73.275640029853861</v>
      </c>
      <c r="D476" s="250">
        <f>C476*'[3]Base Costs'!$B$5</f>
        <v>73.275640029853861</v>
      </c>
      <c r="E476" s="250">
        <f t="shared" si="49"/>
        <v>10</v>
      </c>
      <c r="F476" s="250">
        <f t="shared" si="50"/>
        <v>2</v>
      </c>
      <c r="G476" s="250">
        <f t="shared" si="51"/>
        <v>1</v>
      </c>
      <c r="H476" s="251">
        <f>4*D476*'[3]Base Costs'!$B$7</f>
        <v>14563.093802093277</v>
      </c>
      <c r="I476" s="252">
        <f>4*IF(E476&lt;=3,E476*'[3]Base Costs'!$B$8,IF(F476&lt;=3,F476*'[3]Base Costs'!$B$9,'[3]Base Costs'!$B$10*G476))</f>
        <v>2800</v>
      </c>
      <c r="J476" s="253">
        <f>C476*'[3]Base Costs'!$B$6</f>
        <v>18.61201256758288</v>
      </c>
      <c r="K476" s="250">
        <f t="shared" si="52"/>
        <v>3</v>
      </c>
      <c r="L476" s="250">
        <f t="shared" si="53"/>
        <v>1</v>
      </c>
      <c r="M476" s="250">
        <f t="shared" si="54"/>
        <v>1</v>
      </c>
      <c r="N476" s="251">
        <f>4*J476*'[3]Base Costs'!$B$7</f>
        <v>3699.0258257316923</v>
      </c>
      <c r="O476" s="252">
        <f>4*IF(K476&lt;=3,K476*'[3]Base Costs'!$B$8,IF(L476&lt;=3,L476*'[3]Base Costs'!$B$9,'[3]Base Costs'!$B$10*M476))</f>
        <v>1500</v>
      </c>
      <c r="P476" s="252">
        <f>4*C476*'[3]Base Costs'!$B$11</f>
        <v>14655.128005970771</v>
      </c>
      <c r="Q476">
        <f>'[3]Base Costs'!$B$13+'[3]Base Costs'!$B$14</f>
        <v>414</v>
      </c>
      <c r="R476" s="239">
        <f>'[3]Base Costs'!$D$2</f>
        <v>1105.3024868650327</v>
      </c>
      <c r="S476" s="254">
        <f t="shared" si="55"/>
        <v>6718.3283125967246</v>
      </c>
    </row>
    <row r="477" spans="1:19" x14ac:dyDescent="0.25">
      <c r="A477" s="248" t="s">
        <v>1004</v>
      </c>
      <c r="B477" s="248" t="s">
        <v>973</v>
      </c>
      <c r="C477" s="249">
        <v>122.47774000000001</v>
      </c>
      <c r="D477" s="250">
        <f>C477*'[3]Base Costs'!$B$5</f>
        <v>122.47774000000001</v>
      </c>
      <c r="E477" s="250">
        <f t="shared" si="49"/>
        <v>16</v>
      </c>
      <c r="F477" s="250">
        <f t="shared" si="50"/>
        <v>4</v>
      </c>
      <c r="G477" s="250">
        <f t="shared" si="51"/>
        <v>1</v>
      </c>
      <c r="H477" s="251">
        <f>4*D477*'[3]Base Costs'!$B$7</f>
        <v>24341.715958560006</v>
      </c>
      <c r="I477" s="252">
        <f>4*IF(E477&lt;=3,E477*'[3]Base Costs'!$B$8,IF(F477&lt;=3,F477*'[3]Base Costs'!$B$9,'[3]Base Costs'!$B$10*G477))</f>
        <v>4400</v>
      </c>
      <c r="J477" s="253">
        <f>C477*'[3]Base Costs'!$B$6</f>
        <v>31.109345960000002</v>
      </c>
      <c r="K477" s="250">
        <f t="shared" si="52"/>
        <v>4</v>
      </c>
      <c r="L477" s="250">
        <f t="shared" si="53"/>
        <v>1</v>
      </c>
      <c r="M477" s="250">
        <f t="shared" si="54"/>
        <v>1</v>
      </c>
      <c r="N477" s="251">
        <f>4*J477*'[3]Base Costs'!$B$7</f>
        <v>6182.7958534742411</v>
      </c>
      <c r="O477" s="252">
        <f>4*IF(K477&lt;=3,K477*'[3]Base Costs'!$B$8,IF(L477&lt;=3,L477*'[3]Base Costs'!$B$9,'[3]Base Costs'!$B$10*M477))</f>
        <v>1400</v>
      </c>
      <c r="P477" s="252">
        <f>4*C477*'[3]Base Costs'!$B$11</f>
        <v>24495.548000000003</v>
      </c>
      <c r="Q477">
        <f>'[3]Base Costs'!$B$13+'[3]Base Costs'!$B$14</f>
        <v>414</v>
      </c>
      <c r="R477" s="239">
        <f>'[3]Base Costs'!$D$2</f>
        <v>1105.3024868650327</v>
      </c>
      <c r="S477" s="254">
        <f t="shared" si="55"/>
        <v>9102.0983403392747</v>
      </c>
    </row>
    <row r="478" spans="1:19" x14ac:dyDescent="0.25">
      <c r="A478" s="248" t="s">
        <v>1004</v>
      </c>
      <c r="B478" s="248" t="s">
        <v>1001</v>
      </c>
      <c r="C478" s="249">
        <v>91.370046922257856</v>
      </c>
      <c r="D478" s="250">
        <f>C478*'[3]Base Costs'!$B$5</f>
        <v>91.370046922257856</v>
      </c>
      <c r="E478" s="250">
        <f t="shared" si="49"/>
        <v>12</v>
      </c>
      <c r="F478" s="250">
        <f t="shared" si="50"/>
        <v>3</v>
      </c>
      <c r="G478" s="250">
        <f t="shared" si="51"/>
        <v>1</v>
      </c>
      <c r="H478" s="251">
        <f>4*D478*'[3]Base Costs'!$B$7</f>
        <v>18159.248605517219</v>
      </c>
      <c r="I478" s="252">
        <f>4*IF(E478&lt;=3,E478*'[3]Base Costs'!$B$8,IF(F478&lt;=3,F478*'[3]Base Costs'!$B$9,'[3]Base Costs'!$B$10*G478))</f>
        <v>4200</v>
      </c>
      <c r="J478" s="253">
        <f>C478*'[3]Base Costs'!$B$6</f>
        <v>23.207991918253494</v>
      </c>
      <c r="K478" s="250">
        <f t="shared" si="52"/>
        <v>3</v>
      </c>
      <c r="L478" s="250">
        <f t="shared" si="53"/>
        <v>1</v>
      </c>
      <c r="M478" s="250">
        <f t="shared" si="54"/>
        <v>1</v>
      </c>
      <c r="N478" s="251">
        <f>4*J478*'[3]Base Costs'!$B$7</f>
        <v>4612.4491458013736</v>
      </c>
      <c r="O478" s="252">
        <f>4*IF(K478&lt;=3,K478*'[3]Base Costs'!$B$8,IF(L478&lt;=3,L478*'[3]Base Costs'!$B$9,'[3]Base Costs'!$B$10*M478))</f>
        <v>1500</v>
      </c>
      <c r="P478" s="252">
        <f>4*C478*'[3]Base Costs'!$B$11</f>
        <v>18274.009384451572</v>
      </c>
      <c r="Q478">
        <f>'[3]Base Costs'!$B$13+'[3]Base Costs'!$B$14</f>
        <v>414</v>
      </c>
      <c r="R478" s="239">
        <f>'[3]Base Costs'!$D$2</f>
        <v>1105.3024868650327</v>
      </c>
      <c r="S478" s="254">
        <f t="shared" si="55"/>
        <v>7631.7516326664063</v>
      </c>
    </row>
    <row r="479" spans="1:19" x14ac:dyDescent="0.25">
      <c r="A479" s="248" t="s">
        <v>1004</v>
      </c>
      <c r="B479" s="248" t="s">
        <v>974</v>
      </c>
      <c r="C479" s="249">
        <v>180.96469725639406</v>
      </c>
      <c r="D479" s="250">
        <f>C479*'[3]Base Costs'!$B$5</f>
        <v>180.96469725639406</v>
      </c>
      <c r="E479" s="250">
        <f t="shared" si="49"/>
        <v>23</v>
      </c>
      <c r="F479" s="250">
        <f t="shared" si="50"/>
        <v>5</v>
      </c>
      <c r="G479" s="250">
        <f t="shared" si="51"/>
        <v>2</v>
      </c>
      <c r="H479" s="251">
        <f>4*D479*'[3]Base Costs'!$B$7</f>
        <v>35965.647791524789</v>
      </c>
      <c r="I479" s="252">
        <f>4*IF(E479&lt;=3,E479*'[3]Base Costs'!$B$8,IF(F479&lt;=3,F479*'[3]Base Costs'!$B$9,'[3]Base Costs'!$B$10*G479))</f>
        <v>8800</v>
      </c>
      <c r="J479" s="253">
        <f>C479*'[3]Base Costs'!$B$6</f>
        <v>45.965033103124092</v>
      </c>
      <c r="K479" s="250">
        <f t="shared" si="52"/>
        <v>6</v>
      </c>
      <c r="L479" s="250">
        <f t="shared" si="53"/>
        <v>2</v>
      </c>
      <c r="M479" s="250">
        <f t="shared" si="54"/>
        <v>1</v>
      </c>
      <c r="N479" s="251">
        <f>4*J479*'[3]Base Costs'!$B$7</f>
        <v>9135.2745390472955</v>
      </c>
      <c r="O479" s="252">
        <f>4*IF(K479&lt;=3,K479*'[3]Base Costs'!$B$8,IF(L479&lt;=3,L479*'[3]Base Costs'!$B$9,'[3]Base Costs'!$B$10*M479))</f>
        <v>2800</v>
      </c>
      <c r="P479" s="252">
        <f>4*C479*'[3]Base Costs'!$B$11</f>
        <v>36192.939451278813</v>
      </c>
      <c r="Q479">
        <f>'[3]Base Costs'!$B$13+'[3]Base Costs'!$B$14</f>
        <v>414</v>
      </c>
      <c r="R479" s="239">
        <f>'[3]Base Costs'!$D$2</f>
        <v>1105.3024868650327</v>
      </c>
      <c r="S479" s="254">
        <f t="shared" si="55"/>
        <v>13454.577025912327</v>
      </c>
    </row>
    <row r="480" spans="1:19" x14ac:dyDescent="0.25">
      <c r="A480" s="248" t="s">
        <v>1004</v>
      </c>
      <c r="B480" s="248" t="s">
        <v>975</v>
      </c>
      <c r="C480" s="249">
        <v>50.339275474565284</v>
      </c>
      <c r="D480" s="250">
        <f>C480*'[3]Base Costs'!$B$5</f>
        <v>50.339275474565284</v>
      </c>
      <c r="E480" s="250">
        <f t="shared" si="49"/>
        <v>7</v>
      </c>
      <c r="F480" s="250">
        <f t="shared" si="50"/>
        <v>2</v>
      </c>
      <c r="G480" s="250">
        <f t="shared" si="51"/>
        <v>1</v>
      </c>
      <c r="H480" s="251">
        <f>4*D480*'[3]Base Costs'!$B$7</f>
        <v>10004.628964917005</v>
      </c>
      <c r="I480" s="252">
        <f>4*IF(E480&lt;=3,E480*'[3]Base Costs'!$B$8,IF(F480&lt;=3,F480*'[3]Base Costs'!$B$9,'[3]Base Costs'!$B$10*G480))</f>
        <v>2800</v>
      </c>
      <c r="J480" s="253">
        <f>C480*'[3]Base Costs'!$B$6</f>
        <v>12.786175970539583</v>
      </c>
      <c r="K480" s="250">
        <f t="shared" si="52"/>
        <v>2</v>
      </c>
      <c r="L480" s="250">
        <f t="shared" si="53"/>
        <v>1</v>
      </c>
      <c r="M480" s="250">
        <f t="shared" si="54"/>
        <v>1</v>
      </c>
      <c r="N480" s="251">
        <f>4*J480*'[3]Base Costs'!$B$7</f>
        <v>2541.1757570889195</v>
      </c>
      <c r="O480" s="252">
        <f>4*IF(K480&lt;=3,K480*'[3]Base Costs'!$B$8,IF(L480&lt;=3,L480*'[3]Base Costs'!$B$9,'[3]Base Costs'!$B$10*M480))</f>
        <v>1000</v>
      </c>
      <c r="P480" s="252">
        <f>4*C480*'[3]Base Costs'!$B$11</f>
        <v>10067.855094913057</v>
      </c>
      <c r="Q480">
        <f>'[3]Base Costs'!$B$13+'[3]Base Costs'!$B$14</f>
        <v>414</v>
      </c>
      <c r="R480" s="239">
        <f>'[3]Base Costs'!$D$2</f>
        <v>1105.3024868650327</v>
      </c>
      <c r="S480" s="254">
        <f t="shared" si="55"/>
        <v>5060.4782439539522</v>
      </c>
    </row>
    <row r="481" spans="1:19" x14ac:dyDescent="0.25">
      <c r="A481" s="248" t="s">
        <v>1004</v>
      </c>
      <c r="B481" s="248" t="s">
        <v>976</v>
      </c>
      <c r="C481" s="249">
        <v>289.00585353500003</v>
      </c>
      <c r="D481" s="250">
        <f>C481*'[3]Base Costs'!$B$5</f>
        <v>289.00585353500003</v>
      </c>
      <c r="E481" s="250">
        <f t="shared" si="49"/>
        <v>37</v>
      </c>
      <c r="F481" s="250">
        <f t="shared" si="50"/>
        <v>8</v>
      </c>
      <c r="G481" s="250">
        <f t="shared" si="51"/>
        <v>2</v>
      </c>
      <c r="H481" s="251">
        <f>4*D481*'[3]Base Costs'!$B$7</f>
        <v>57438.179354960055</v>
      </c>
      <c r="I481" s="252">
        <f>4*IF(E481&lt;=3,E481*'[3]Base Costs'!$B$8,IF(F481&lt;=3,F481*'[3]Base Costs'!$B$9,'[3]Base Costs'!$B$10*G481))</f>
        <v>8800</v>
      </c>
      <c r="J481" s="253">
        <f>C481*'[3]Base Costs'!$B$6</f>
        <v>73.407486797890002</v>
      </c>
      <c r="K481" s="250">
        <f t="shared" si="52"/>
        <v>10</v>
      </c>
      <c r="L481" s="250">
        <f t="shared" si="53"/>
        <v>2</v>
      </c>
      <c r="M481" s="250">
        <f t="shared" si="54"/>
        <v>1</v>
      </c>
      <c r="N481" s="251">
        <f>4*J481*'[3]Base Costs'!$B$7</f>
        <v>14589.297556159852</v>
      </c>
      <c r="O481" s="252">
        <f>4*IF(K481&lt;=3,K481*'[3]Base Costs'!$B$8,IF(L481&lt;=3,L481*'[3]Base Costs'!$B$9,'[3]Base Costs'!$B$10*M481))</f>
        <v>2800</v>
      </c>
      <c r="P481" s="252">
        <f>4*C481*'[3]Base Costs'!$B$11</f>
        <v>57801.170707000005</v>
      </c>
      <c r="Q481">
        <f>'[3]Base Costs'!$B$13+'[3]Base Costs'!$B$14</f>
        <v>414</v>
      </c>
      <c r="R481" s="239">
        <f>'[3]Base Costs'!$D$2</f>
        <v>1105.3024868650327</v>
      </c>
      <c r="S481" s="254">
        <f t="shared" si="55"/>
        <v>18908.600043024886</v>
      </c>
    </row>
    <row r="482" spans="1:19" x14ac:dyDescent="0.25">
      <c r="A482" s="248" t="s">
        <v>1004</v>
      </c>
      <c r="B482" s="248" t="s">
        <v>977</v>
      </c>
      <c r="C482" s="249">
        <v>154.19683931329263</v>
      </c>
      <c r="D482" s="250">
        <f>C482*'[3]Base Costs'!$B$5</f>
        <v>154.19683931329263</v>
      </c>
      <c r="E482" s="250">
        <f t="shared" si="49"/>
        <v>20</v>
      </c>
      <c r="F482" s="250">
        <f t="shared" si="50"/>
        <v>4</v>
      </c>
      <c r="G482" s="250">
        <f t="shared" si="51"/>
        <v>1</v>
      </c>
      <c r="H482" s="251">
        <f>4*D482*'[3]Base Costs'!$B$7</f>
        <v>30645.696632481035</v>
      </c>
      <c r="I482" s="252">
        <f>4*IF(E482&lt;=3,E482*'[3]Base Costs'!$B$8,IF(F482&lt;=3,F482*'[3]Base Costs'!$B$9,'[3]Base Costs'!$B$10*G482))</f>
        <v>4400</v>
      </c>
      <c r="J482" s="253">
        <f>C482*'[3]Base Costs'!$B$6</f>
        <v>39.16599718557633</v>
      </c>
      <c r="K482" s="250">
        <f t="shared" si="52"/>
        <v>5</v>
      </c>
      <c r="L482" s="250">
        <f t="shared" si="53"/>
        <v>1</v>
      </c>
      <c r="M482" s="250">
        <f t="shared" si="54"/>
        <v>1</v>
      </c>
      <c r="N482" s="251">
        <f>4*J482*'[3]Base Costs'!$B$7</f>
        <v>7784.006944650183</v>
      </c>
      <c r="O482" s="252">
        <f>4*IF(K482&lt;=3,K482*'[3]Base Costs'!$B$8,IF(L482&lt;=3,L482*'[3]Base Costs'!$B$9,'[3]Base Costs'!$B$10*M482))</f>
        <v>1400</v>
      </c>
      <c r="P482" s="252">
        <f>4*C482*'[3]Base Costs'!$B$11</f>
        <v>30839.367862658524</v>
      </c>
      <c r="Q482">
        <f>'[3]Base Costs'!$B$13+'[3]Base Costs'!$B$14</f>
        <v>414</v>
      </c>
      <c r="R482" s="239">
        <f>'[3]Base Costs'!$D$2</f>
        <v>1105.3024868650327</v>
      </c>
      <c r="S482" s="254">
        <f t="shared" si="55"/>
        <v>10703.309431515216</v>
      </c>
    </row>
    <row r="483" spans="1:19" x14ac:dyDescent="0.25">
      <c r="A483" s="248" t="s">
        <v>1004</v>
      </c>
      <c r="B483" s="248" t="s">
        <v>978</v>
      </c>
      <c r="C483" s="249">
        <v>255.52898646446204</v>
      </c>
      <c r="D483" s="250">
        <f>C483*'[3]Base Costs'!$B$5</f>
        <v>255.52898646446204</v>
      </c>
      <c r="E483" s="250">
        <f t="shared" si="49"/>
        <v>32</v>
      </c>
      <c r="F483" s="250">
        <f t="shared" si="50"/>
        <v>7</v>
      </c>
      <c r="G483" s="250">
        <f t="shared" si="51"/>
        <v>2</v>
      </c>
      <c r="H483" s="251">
        <f>4*D483*'[3]Base Costs'!$B$7</f>
        <v>50784.852885893051</v>
      </c>
      <c r="I483" s="252">
        <f>4*IF(E483&lt;=3,E483*'[3]Base Costs'!$B$8,IF(F483&lt;=3,F483*'[3]Base Costs'!$B$9,'[3]Base Costs'!$B$10*G483))</f>
        <v>8800</v>
      </c>
      <c r="J483" s="253">
        <f>C483*'[3]Base Costs'!$B$6</f>
        <v>64.904362561973358</v>
      </c>
      <c r="K483" s="250">
        <f t="shared" si="52"/>
        <v>9</v>
      </c>
      <c r="L483" s="250">
        <f t="shared" si="53"/>
        <v>2</v>
      </c>
      <c r="M483" s="250">
        <f t="shared" si="54"/>
        <v>1</v>
      </c>
      <c r="N483" s="251">
        <f>4*J483*'[3]Base Costs'!$B$7</f>
        <v>12899.352633016835</v>
      </c>
      <c r="O483" s="252">
        <f>4*IF(K483&lt;=3,K483*'[3]Base Costs'!$B$8,IF(L483&lt;=3,L483*'[3]Base Costs'!$B$9,'[3]Base Costs'!$B$10*M483))</f>
        <v>2800</v>
      </c>
      <c r="P483" s="252">
        <f>4*C483*'[3]Base Costs'!$B$11</f>
        <v>51105.797292892406</v>
      </c>
      <c r="Q483">
        <f>'[3]Base Costs'!$B$13+'[3]Base Costs'!$B$14</f>
        <v>414</v>
      </c>
      <c r="R483" s="239">
        <f>'[3]Base Costs'!$D$2</f>
        <v>1105.3024868650327</v>
      </c>
      <c r="S483" s="254">
        <f t="shared" si="55"/>
        <v>17218.655119881867</v>
      </c>
    </row>
    <row r="484" spans="1:19" x14ac:dyDescent="0.25">
      <c r="A484" s="248" t="s">
        <v>1004</v>
      </c>
      <c r="B484" s="248" t="s">
        <v>979</v>
      </c>
      <c r="C484" s="249">
        <v>81.679866431680338</v>
      </c>
      <c r="D484" s="250">
        <f>C484*'[3]Base Costs'!$B$5</f>
        <v>81.679866431680338</v>
      </c>
      <c r="E484" s="250">
        <f t="shared" si="49"/>
        <v>11</v>
      </c>
      <c r="F484" s="250">
        <f t="shared" si="50"/>
        <v>3</v>
      </c>
      <c r="G484" s="250">
        <f t="shared" si="51"/>
        <v>1</v>
      </c>
      <c r="H484" s="251">
        <f>4*D484*'[3]Base Costs'!$B$7</f>
        <v>16233.383374097879</v>
      </c>
      <c r="I484" s="252">
        <f>4*IF(E484&lt;=3,E484*'[3]Base Costs'!$B$8,IF(F484&lt;=3,F484*'[3]Base Costs'!$B$9,'[3]Base Costs'!$B$10*G484))</f>
        <v>4200</v>
      </c>
      <c r="J484" s="253">
        <f>C484*'[3]Base Costs'!$B$6</f>
        <v>20.746686073646806</v>
      </c>
      <c r="K484" s="250">
        <f t="shared" si="52"/>
        <v>3</v>
      </c>
      <c r="L484" s="250">
        <f t="shared" si="53"/>
        <v>1</v>
      </c>
      <c r="M484" s="250">
        <f t="shared" si="54"/>
        <v>1</v>
      </c>
      <c r="N484" s="251">
        <f>4*J484*'[3]Base Costs'!$B$7</f>
        <v>4123.2793770208618</v>
      </c>
      <c r="O484" s="252">
        <f>4*IF(K484&lt;=3,K484*'[3]Base Costs'!$B$8,IF(L484&lt;=3,L484*'[3]Base Costs'!$B$9,'[3]Base Costs'!$B$10*M484))</f>
        <v>1500</v>
      </c>
      <c r="P484" s="252">
        <f>4*C484*'[3]Base Costs'!$B$11</f>
        <v>16335.973286336068</v>
      </c>
      <c r="Q484">
        <f>'[3]Base Costs'!$B$13+'[3]Base Costs'!$B$14</f>
        <v>414</v>
      </c>
      <c r="R484" s="239">
        <f>'[3]Base Costs'!$D$2</f>
        <v>1105.3024868650327</v>
      </c>
      <c r="S484" s="254">
        <f t="shared" si="55"/>
        <v>7142.5818638858946</v>
      </c>
    </row>
    <row r="485" spans="1:19" x14ac:dyDescent="0.25">
      <c r="A485" s="248" t="s">
        <v>1004</v>
      </c>
      <c r="B485" s="248" t="s">
        <v>980</v>
      </c>
      <c r="C485" s="249">
        <v>63.104447772546408</v>
      </c>
      <c r="D485" s="250">
        <f>C485*'[3]Base Costs'!$B$5</f>
        <v>63.104447772546408</v>
      </c>
      <c r="E485" s="250">
        <f t="shared" si="49"/>
        <v>8</v>
      </c>
      <c r="F485" s="250">
        <f t="shared" si="50"/>
        <v>2</v>
      </c>
      <c r="G485" s="250">
        <f t="shared" si="51"/>
        <v>1</v>
      </c>
      <c r="H485" s="251">
        <f>4*D485*'[3]Base Costs'!$B$7</f>
        <v>12541.630368106966</v>
      </c>
      <c r="I485" s="252">
        <f>4*IF(E485&lt;=3,E485*'[3]Base Costs'!$B$8,IF(F485&lt;=3,F485*'[3]Base Costs'!$B$9,'[3]Base Costs'!$B$10*G485))</f>
        <v>2800</v>
      </c>
      <c r="J485" s="253">
        <f>C485*'[3]Base Costs'!$B$6</f>
        <v>16.028529734226787</v>
      </c>
      <c r="K485" s="250">
        <f t="shared" si="52"/>
        <v>3</v>
      </c>
      <c r="L485" s="250">
        <f t="shared" si="53"/>
        <v>1</v>
      </c>
      <c r="M485" s="250">
        <f t="shared" si="54"/>
        <v>1</v>
      </c>
      <c r="N485" s="251">
        <f>4*J485*'[3]Base Costs'!$B$7</f>
        <v>3185.574113499169</v>
      </c>
      <c r="O485" s="252">
        <f>4*IF(K485&lt;=3,K485*'[3]Base Costs'!$B$8,IF(L485&lt;=3,L485*'[3]Base Costs'!$B$9,'[3]Base Costs'!$B$10*M485))</f>
        <v>1500</v>
      </c>
      <c r="P485" s="252">
        <f>4*C485*'[3]Base Costs'!$B$11</f>
        <v>12620.889554509282</v>
      </c>
      <c r="Q485">
        <f>'[3]Base Costs'!$B$13+'[3]Base Costs'!$B$14</f>
        <v>414</v>
      </c>
      <c r="R485" s="239">
        <f>'[3]Base Costs'!$D$2</f>
        <v>1105.3024868650327</v>
      </c>
      <c r="S485" s="254">
        <f t="shared" si="55"/>
        <v>6204.8766003642013</v>
      </c>
    </row>
    <row r="486" spans="1:19" x14ac:dyDescent="0.25">
      <c r="A486" s="248" t="s">
        <v>1004</v>
      </c>
      <c r="B486" s="248" t="s">
        <v>981</v>
      </c>
      <c r="C486" s="249">
        <v>79.312906464377704</v>
      </c>
      <c r="D486" s="250">
        <f>C486*'[3]Base Costs'!$B$5</f>
        <v>79.312906464377704</v>
      </c>
      <c r="E486" s="250">
        <f t="shared" si="49"/>
        <v>10</v>
      </c>
      <c r="F486" s="250">
        <f t="shared" si="50"/>
        <v>2</v>
      </c>
      <c r="G486" s="250">
        <f t="shared" si="51"/>
        <v>1</v>
      </c>
      <c r="H486" s="251">
        <f>4*D486*'[3]Base Costs'!$B$7</f>
        <v>15762.964282356284</v>
      </c>
      <c r="I486" s="252">
        <f>4*IF(E486&lt;=3,E486*'[3]Base Costs'!$B$8,IF(F486&lt;=3,F486*'[3]Base Costs'!$B$9,'[3]Base Costs'!$B$10*G486))</f>
        <v>2800</v>
      </c>
      <c r="J486" s="253">
        <f>C486*'[3]Base Costs'!$B$6</f>
        <v>20.145478241951938</v>
      </c>
      <c r="K486" s="250">
        <f t="shared" si="52"/>
        <v>3</v>
      </c>
      <c r="L486" s="250">
        <f t="shared" si="53"/>
        <v>1</v>
      </c>
      <c r="M486" s="250">
        <f t="shared" si="54"/>
        <v>1</v>
      </c>
      <c r="N486" s="251">
        <f>4*J486*'[3]Base Costs'!$B$7</f>
        <v>4003.7929277184967</v>
      </c>
      <c r="O486" s="252">
        <f>4*IF(K486&lt;=3,K486*'[3]Base Costs'!$B$8,IF(L486&lt;=3,L486*'[3]Base Costs'!$B$9,'[3]Base Costs'!$B$10*M486))</f>
        <v>1500</v>
      </c>
      <c r="P486" s="252">
        <f>4*C486*'[3]Base Costs'!$B$11</f>
        <v>15862.58129287554</v>
      </c>
      <c r="Q486">
        <f>'[3]Base Costs'!$B$13+'[3]Base Costs'!$B$14</f>
        <v>414</v>
      </c>
      <c r="R486" s="239">
        <f>'[3]Base Costs'!$D$2</f>
        <v>1105.3024868650327</v>
      </c>
      <c r="S486" s="254">
        <f t="shared" si="55"/>
        <v>7023.0954145835294</v>
      </c>
    </row>
    <row r="487" spans="1:19" x14ac:dyDescent="0.25">
      <c r="A487" s="248" t="s">
        <v>1004</v>
      </c>
      <c r="B487" s="248" t="s">
        <v>982</v>
      </c>
      <c r="C487" s="249">
        <v>86.934071898984584</v>
      </c>
      <c r="D487" s="250">
        <f>C487*'[3]Base Costs'!$B$5</f>
        <v>86.934071898984584</v>
      </c>
      <c r="E487" s="250">
        <f t="shared" si="49"/>
        <v>11</v>
      </c>
      <c r="F487" s="250">
        <f t="shared" si="50"/>
        <v>3</v>
      </c>
      <c r="G487" s="250">
        <f t="shared" si="51"/>
        <v>1</v>
      </c>
      <c r="H487" s="251">
        <f>4*D487*'[3]Base Costs'!$B$7</f>
        <v>17277.625185491794</v>
      </c>
      <c r="I487" s="252">
        <f>4*IF(E487&lt;=3,E487*'[3]Base Costs'!$B$8,IF(F487&lt;=3,F487*'[3]Base Costs'!$B$9,'[3]Base Costs'!$B$10*G487))</f>
        <v>4200</v>
      </c>
      <c r="J487" s="253">
        <f>C487*'[3]Base Costs'!$B$6</f>
        <v>22.081254262342085</v>
      </c>
      <c r="K487" s="250">
        <f t="shared" si="52"/>
        <v>3</v>
      </c>
      <c r="L487" s="250">
        <f t="shared" si="53"/>
        <v>1</v>
      </c>
      <c r="M487" s="250">
        <f t="shared" si="54"/>
        <v>1</v>
      </c>
      <c r="N487" s="251">
        <f>4*J487*'[3]Base Costs'!$B$7</f>
        <v>4388.5167971149158</v>
      </c>
      <c r="O487" s="252">
        <f>4*IF(K487&lt;=3,K487*'[3]Base Costs'!$B$8,IF(L487&lt;=3,L487*'[3]Base Costs'!$B$9,'[3]Base Costs'!$B$10*M487))</f>
        <v>1500</v>
      </c>
      <c r="P487" s="252">
        <f>4*C487*'[3]Base Costs'!$B$11</f>
        <v>17386.814379796917</v>
      </c>
      <c r="Q487">
        <f>'[3]Base Costs'!$B$13+'[3]Base Costs'!$B$14</f>
        <v>414</v>
      </c>
      <c r="R487" s="239">
        <f>'[3]Base Costs'!$D$2</f>
        <v>1105.3024868650327</v>
      </c>
      <c r="S487" s="254">
        <f t="shared" si="55"/>
        <v>7407.8192839799485</v>
      </c>
    </row>
    <row r="488" spans="1:19" x14ac:dyDescent="0.25">
      <c r="A488" s="248" t="s">
        <v>1004</v>
      </c>
      <c r="B488" s="248" t="s">
        <v>983</v>
      </c>
      <c r="C488" s="249">
        <v>76.857849265168284</v>
      </c>
      <c r="D488" s="250">
        <f>C488*'[3]Base Costs'!$B$5</f>
        <v>76.857849265168284</v>
      </c>
      <c r="E488" s="250">
        <f t="shared" si="49"/>
        <v>10</v>
      </c>
      <c r="F488" s="250">
        <f t="shared" si="50"/>
        <v>2</v>
      </c>
      <c r="G488" s="250">
        <f t="shared" si="51"/>
        <v>1</v>
      </c>
      <c r="H488" s="251">
        <f>4*D488*'[3]Base Costs'!$B$7</f>
        <v>15275.036394356608</v>
      </c>
      <c r="I488" s="252">
        <f>4*IF(E488&lt;=3,E488*'[3]Base Costs'!$B$8,IF(F488&lt;=3,F488*'[3]Base Costs'!$B$9,'[3]Base Costs'!$B$10*G488))</f>
        <v>2800</v>
      </c>
      <c r="J488" s="253">
        <f>C488*'[3]Base Costs'!$B$6</f>
        <v>19.521893713352743</v>
      </c>
      <c r="K488" s="250">
        <f t="shared" si="52"/>
        <v>3</v>
      </c>
      <c r="L488" s="250">
        <f t="shared" si="53"/>
        <v>1</v>
      </c>
      <c r="M488" s="250">
        <f t="shared" si="54"/>
        <v>1</v>
      </c>
      <c r="N488" s="251">
        <f>4*J488*'[3]Base Costs'!$B$7</f>
        <v>3879.8592441665778</v>
      </c>
      <c r="O488" s="252">
        <f>4*IF(K488&lt;=3,K488*'[3]Base Costs'!$B$8,IF(L488&lt;=3,L488*'[3]Base Costs'!$B$9,'[3]Base Costs'!$B$10*M488))</f>
        <v>1500</v>
      </c>
      <c r="P488" s="252">
        <f>4*C488*'[3]Base Costs'!$B$11</f>
        <v>15371.569853033656</v>
      </c>
      <c r="Q488">
        <f>'[3]Base Costs'!$B$13+'[3]Base Costs'!$B$14</f>
        <v>414</v>
      </c>
      <c r="R488" s="239">
        <f>'[3]Base Costs'!$D$2</f>
        <v>1105.3024868650327</v>
      </c>
      <c r="S488" s="254">
        <f t="shared" si="55"/>
        <v>6899.1617310316105</v>
      </c>
    </row>
    <row r="489" spans="1:19" x14ac:dyDescent="0.25">
      <c r="A489" s="248" t="s">
        <v>1004</v>
      </c>
      <c r="B489" s="248" t="s">
        <v>984</v>
      </c>
      <c r="C489" s="249">
        <v>248.03077956111065</v>
      </c>
      <c r="D489" s="250">
        <f>C489*'[3]Base Costs'!$B$5</f>
        <v>248.03077956111065</v>
      </c>
      <c r="E489" s="250">
        <f t="shared" si="49"/>
        <v>32</v>
      </c>
      <c r="F489" s="250">
        <f t="shared" si="50"/>
        <v>7</v>
      </c>
      <c r="G489" s="250">
        <f t="shared" si="51"/>
        <v>2</v>
      </c>
      <c r="H489" s="251">
        <f>4*D489*'[3]Base Costs'!$B$7</f>
        <v>49294.629253093379</v>
      </c>
      <c r="I489" s="252">
        <f>4*IF(E489&lt;=3,E489*'[3]Base Costs'!$B$8,IF(F489&lt;=3,F489*'[3]Base Costs'!$B$9,'[3]Base Costs'!$B$10*G489))</f>
        <v>8800</v>
      </c>
      <c r="J489" s="253">
        <f>C489*'[3]Base Costs'!$B$6</f>
        <v>62.999818008522105</v>
      </c>
      <c r="K489" s="250">
        <f t="shared" si="52"/>
        <v>8</v>
      </c>
      <c r="L489" s="250">
        <f t="shared" si="53"/>
        <v>2</v>
      </c>
      <c r="M489" s="250">
        <f t="shared" si="54"/>
        <v>1</v>
      </c>
      <c r="N489" s="251">
        <f>4*J489*'[3]Base Costs'!$B$7</f>
        <v>12520.83583028572</v>
      </c>
      <c r="O489" s="252">
        <f>4*IF(K489&lt;=3,K489*'[3]Base Costs'!$B$8,IF(L489&lt;=3,L489*'[3]Base Costs'!$B$9,'[3]Base Costs'!$B$10*M489))</f>
        <v>2800</v>
      </c>
      <c r="P489" s="252">
        <f>4*C489*'[3]Base Costs'!$B$11</f>
        <v>49606.15591222213</v>
      </c>
      <c r="Q489">
        <f>'[3]Base Costs'!$B$13+'[3]Base Costs'!$B$14</f>
        <v>414</v>
      </c>
      <c r="R489" s="239">
        <f>'[3]Base Costs'!$D$2</f>
        <v>1105.3024868650327</v>
      </c>
      <c r="S489" s="254">
        <f t="shared" si="55"/>
        <v>16840.138317150751</v>
      </c>
    </row>
    <row r="490" spans="1:19" x14ac:dyDescent="0.25">
      <c r="A490" s="248" t="s">
        <v>1004</v>
      </c>
      <c r="B490" s="248" t="s">
        <v>1002</v>
      </c>
      <c r="C490" s="249">
        <v>116.51537910425525</v>
      </c>
      <c r="D490" s="250">
        <f>C490*'[3]Base Costs'!$B$5</f>
        <v>116.51537910425525</v>
      </c>
      <c r="E490" s="250">
        <f t="shared" si="49"/>
        <v>15</v>
      </c>
      <c r="F490" s="250">
        <f t="shared" si="50"/>
        <v>3</v>
      </c>
      <c r="G490" s="250">
        <f t="shared" si="51"/>
        <v>1</v>
      </c>
      <c r="H490" s="251">
        <f>4*D490*'[3]Base Costs'!$B$7</f>
        <v>23156.732504696109</v>
      </c>
      <c r="I490" s="252">
        <f>4*IF(E490&lt;=3,E490*'[3]Base Costs'!$B$8,IF(F490&lt;=3,F490*'[3]Base Costs'!$B$9,'[3]Base Costs'!$B$10*G490))</f>
        <v>4200</v>
      </c>
      <c r="J490" s="253">
        <f>C490*'[3]Base Costs'!$B$6</f>
        <v>29.594906292480832</v>
      </c>
      <c r="K490" s="250">
        <f t="shared" si="52"/>
        <v>4</v>
      </c>
      <c r="L490" s="250">
        <f t="shared" si="53"/>
        <v>1</v>
      </c>
      <c r="M490" s="250">
        <f t="shared" si="54"/>
        <v>1</v>
      </c>
      <c r="N490" s="251">
        <f>4*J490*'[3]Base Costs'!$B$7</f>
        <v>5881.8100561928113</v>
      </c>
      <c r="O490" s="252">
        <f>4*IF(K490&lt;=3,K490*'[3]Base Costs'!$B$8,IF(L490&lt;=3,L490*'[3]Base Costs'!$B$9,'[3]Base Costs'!$B$10*M490))</f>
        <v>1400</v>
      </c>
      <c r="P490" s="252">
        <f>4*C490*'[3]Base Costs'!$B$11</f>
        <v>23303.075820851049</v>
      </c>
      <c r="Q490">
        <f>'[3]Base Costs'!$B$13+'[3]Base Costs'!$B$14</f>
        <v>414</v>
      </c>
      <c r="R490" s="239">
        <f>'[3]Base Costs'!$D$2</f>
        <v>1105.3024868650327</v>
      </c>
      <c r="S490" s="254">
        <f t="shared" si="55"/>
        <v>8801.1125430578431</v>
      </c>
    </row>
    <row r="491" spans="1:19" x14ac:dyDescent="0.25">
      <c r="A491" s="248" t="s">
        <v>1004</v>
      </c>
      <c r="B491" s="248" t="s">
        <v>985</v>
      </c>
      <c r="C491" s="249">
        <v>134.21580695873169</v>
      </c>
      <c r="D491" s="250">
        <f>C491*'[3]Base Costs'!$B$5</f>
        <v>134.21580695873169</v>
      </c>
      <c r="E491" s="250">
        <f t="shared" si="49"/>
        <v>17</v>
      </c>
      <c r="F491" s="250">
        <f t="shared" si="50"/>
        <v>4</v>
      </c>
      <c r="G491" s="250">
        <f t="shared" si="51"/>
        <v>1</v>
      </c>
      <c r="H491" s="251">
        <f>4*D491*'[3]Base Costs'!$B$7</f>
        <v>26674.586338206176</v>
      </c>
      <c r="I491" s="252">
        <f>4*IF(E491&lt;=3,E491*'[3]Base Costs'!$B$8,IF(F491&lt;=3,F491*'[3]Base Costs'!$B$9,'[3]Base Costs'!$B$10*G491))</f>
        <v>4400</v>
      </c>
      <c r="J491" s="253">
        <f>C491*'[3]Base Costs'!$B$6</f>
        <v>34.090814967517851</v>
      </c>
      <c r="K491" s="250">
        <f t="shared" si="52"/>
        <v>5</v>
      </c>
      <c r="L491" s="250">
        <f t="shared" si="53"/>
        <v>1</v>
      </c>
      <c r="M491" s="250">
        <f t="shared" si="54"/>
        <v>1</v>
      </c>
      <c r="N491" s="251">
        <f>4*J491*'[3]Base Costs'!$B$7</f>
        <v>6775.3449299043687</v>
      </c>
      <c r="O491" s="252">
        <f>4*IF(K491&lt;=3,K491*'[3]Base Costs'!$B$8,IF(L491&lt;=3,L491*'[3]Base Costs'!$B$9,'[3]Base Costs'!$B$10*M491))</f>
        <v>1400</v>
      </c>
      <c r="P491" s="252">
        <f>4*C491*'[3]Base Costs'!$B$11</f>
        <v>26843.161391746336</v>
      </c>
      <c r="Q491">
        <f>'[3]Base Costs'!$B$13+'[3]Base Costs'!$B$14</f>
        <v>414</v>
      </c>
      <c r="R491" s="239">
        <f>'[3]Base Costs'!$D$2</f>
        <v>1105.3024868650327</v>
      </c>
      <c r="S491" s="254">
        <f t="shared" si="55"/>
        <v>9694.6474167694014</v>
      </c>
    </row>
    <row r="492" spans="1:19" x14ac:dyDescent="0.25">
      <c r="A492" s="248" t="s">
        <v>1004</v>
      </c>
      <c r="B492" s="248" t="s">
        <v>986</v>
      </c>
      <c r="C492" s="249">
        <v>52.099865305000002</v>
      </c>
      <c r="D492" s="250">
        <f>C492*'[3]Base Costs'!$B$5</f>
        <v>52.099865305000002</v>
      </c>
      <c r="E492" s="250">
        <f t="shared" si="49"/>
        <v>7</v>
      </c>
      <c r="F492" s="250">
        <f t="shared" si="50"/>
        <v>2</v>
      </c>
      <c r="G492" s="250">
        <f t="shared" si="51"/>
        <v>1</v>
      </c>
      <c r="H492" s="251">
        <f>4*D492*'[3]Base Costs'!$B$7</f>
        <v>10354.535630176922</v>
      </c>
      <c r="I492" s="252">
        <f>4*IF(E492&lt;=3,E492*'[3]Base Costs'!$B$8,IF(F492&lt;=3,F492*'[3]Base Costs'!$B$9,'[3]Base Costs'!$B$10*G492))</f>
        <v>2800</v>
      </c>
      <c r="J492" s="253">
        <f>C492*'[3]Base Costs'!$B$6</f>
        <v>13.233365787470001</v>
      </c>
      <c r="K492" s="250">
        <f t="shared" si="52"/>
        <v>2</v>
      </c>
      <c r="L492" s="250">
        <f t="shared" si="53"/>
        <v>1</v>
      </c>
      <c r="M492" s="250">
        <f t="shared" si="54"/>
        <v>1</v>
      </c>
      <c r="N492" s="251">
        <f>4*J492*'[3]Base Costs'!$B$7</f>
        <v>2630.0520500649382</v>
      </c>
      <c r="O492" s="252">
        <f>4*IF(K492&lt;=3,K492*'[3]Base Costs'!$B$8,IF(L492&lt;=3,L492*'[3]Base Costs'!$B$9,'[3]Base Costs'!$B$10*M492))</f>
        <v>1000</v>
      </c>
      <c r="P492" s="252">
        <f>4*C492*'[3]Base Costs'!$B$11</f>
        <v>10419.973061000001</v>
      </c>
      <c r="Q492">
        <f>'[3]Base Costs'!$B$13+'[3]Base Costs'!$B$14</f>
        <v>414</v>
      </c>
      <c r="R492" s="239">
        <f>'[3]Base Costs'!$D$2</f>
        <v>1105.3024868650327</v>
      </c>
      <c r="S492" s="254">
        <f t="shared" si="55"/>
        <v>5149.3545369299709</v>
      </c>
    </row>
    <row r="493" spans="1:19" x14ac:dyDescent="0.25">
      <c r="A493" s="248" t="s">
        <v>1004</v>
      </c>
      <c r="B493" s="248" t="s">
        <v>987</v>
      </c>
      <c r="C493" s="249">
        <v>66.921262112948611</v>
      </c>
      <c r="D493" s="250">
        <f>C493*'[3]Base Costs'!$B$5</f>
        <v>66.921262112948611</v>
      </c>
      <c r="E493" s="250">
        <f t="shared" si="49"/>
        <v>9</v>
      </c>
      <c r="F493" s="250">
        <f t="shared" si="50"/>
        <v>2</v>
      </c>
      <c r="G493" s="250">
        <f t="shared" si="51"/>
        <v>1</v>
      </c>
      <c r="H493" s="251">
        <f>4*D493*'[3]Base Costs'!$B$7</f>
        <v>13300.19931737586</v>
      </c>
      <c r="I493" s="252">
        <f>4*IF(E493&lt;=3,E493*'[3]Base Costs'!$B$8,IF(F493&lt;=3,F493*'[3]Base Costs'!$B$9,'[3]Base Costs'!$B$10*G493))</f>
        <v>2800</v>
      </c>
      <c r="J493" s="253">
        <f>C493*'[3]Base Costs'!$B$6</f>
        <v>16.998000576688948</v>
      </c>
      <c r="K493" s="250">
        <f t="shared" si="52"/>
        <v>3</v>
      </c>
      <c r="L493" s="250">
        <f t="shared" si="53"/>
        <v>1</v>
      </c>
      <c r="M493" s="250">
        <f t="shared" si="54"/>
        <v>1</v>
      </c>
      <c r="N493" s="251">
        <f>4*J493*'[3]Base Costs'!$B$7</f>
        <v>3378.2506266134687</v>
      </c>
      <c r="O493" s="252">
        <f>4*IF(K493&lt;=3,K493*'[3]Base Costs'!$B$8,IF(L493&lt;=3,L493*'[3]Base Costs'!$B$9,'[3]Base Costs'!$B$10*M493))</f>
        <v>1500</v>
      </c>
      <c r="P493" s="252">
        <f>4*C493*'[3]Base Costs'!$B$11</f>
        <v>13384.252422589721</v>
      </c>
      <c r="Q493">
        <f>'[3]Base Costs'!$B$13+'[3]Base Costs'!$B$14</f>
        <v>414</v>
      </c>
      <c r="R493" s="239">
        <f>'[3]Base Costs'!$D$2</f>
        <v>1105.3024868650327</v>
      </c>
      <c r="S493" s="254">
        <f t="shared" si="55"/>
        <v>6397.5531134785015</v>
      </c>
    </row>
    <row r="494" spans="1:19" x14ac:dyDescent="0.25">
      <c r="A494" s="252"/>
      <c r="B494" s="252"/>
      <c r="C494" s="252"/>
      <c r="D494" s="252"/>
      <c r="E494" s="252"/>
      <c r="F494" s="252"/>
      <c r="G494" s="252"/>
    </row>
    <row r="495" spans="1:19" x14ac:dyDescent="0.25">
      <c r="A495" s="252"/>
      <c r="B495" s="252"/>
      <c r="C495" s="252"/>
      <c r="D495" s="252"/>
      <c r="E495" s="252"/>
      <c r="F495" s="252"/>
      <c r="G495" s="252"/>
    </row>
    <row r="496" spans="1:19" x14ac:dyDescent="0.25">
      <c r="A496" s="252"/>
      <c r="B496" s="252"/>
      <c r="C496" s="252"/>
      <c r="D496" s="252"/>
      <c r="E496" s="252"/>
      <c r="F496" s="252"/>
      <c r="G496" s="252"/>
    </row>
    <row r="497" spans="1:7" x14ac:dyDescent="0.25">
      <c r="A497" s="252"/>
      <c r="B497" s="252"/>
      <c r="C497" s="252"/>
      <c r="D497" s="252"/>
      <c r="E497" s="252"/>
      <c r="F497" s="252"/>
      <c r="G497" s="252"/>
    </row>
    <row r="498" spans="1:7" x14ac:dyDescent="0.25">
      <c r="A498" s="252"/>
      <c r="B498" s="252"/>
      <c r="C498" s="252"/>
      <c r="D498" s="252"/>
      <c r="E498" s="252"/>
      <c r="F498" s="252"/>
      <c r="G498" s="252"/>
    </row>
    <row r="499" spans="1:7" x14ac:dyDescent="0.25">
      <c r="A499" s="252"/>
      <c r="B499" s="252"/>
      <c r="C499" s="252"/>
      <c r="D499" s="252"/>
      <c r="E499" s="252"/>
      <c r="F499" s="252"/>
      <c r="G499" s="252"/>
    </row>
    <row r="500" spans="1:7" x14ac:dyDescent="0.25">
      <c r="A500" s="252"/>
      <c r="B500" s="252"/>
      <c r="C500" s="252"/>
      <c r="D500" s="252"/>
      <c r="E500" s="252"/>
      <c r="F500" s="252"/>
      <c r="G500" s="252"/>
    </row>
    <row r="501" spans="1:7" x14ac:dyDescent="0.25">
      <c r="A501" s="252"/>
      <c r="B501" s="252"/>
      <c r="C501" s="252"/>
      <c r="D501" s="252"/>
      <c r="E501" s="252"/>
      <c r="F501" s="252"/>
      <c r="G501" s="252"/>
    </row>
    <row r="502" spans="1:7" x14ac:dyDescent="0.25">
      <c r="A502" s="252"/>
      <c r="B502" s="252"/>
      <c r="C502" s="252"/>
      <c r="D502" s="252"/>
      <c r="E502" s="252"/>
      <c r="F502" s="252"/>
      <c r="G502" s="252"/>
    </row>
    <row r="503" spans="1:7" x14ac:dyDescent="0.25">
      <c r="A503" s="252"/>
      <c r="B503" s="252"/>
      <c r="C503" s="252"/>
      <c r="D503" s="252"/>
      <c r="E503" s="252"/>
      <c r="F503" s="252"/>
      <c r="G503" s="252"/>
    </row>
    <row r="504" spans="1:7" x14ac:dyDescent="0.25">
      <c r="A504" s="252"/>
      <c r="B504" s="252"/>
      <c r="C504" s="252"/>
      <c r="D504" s="252"/>
      <c r="E504" s="252"/>
      <c r="F504" s="252"/>
      <c r="G504" s="252"/>
    </row>
    <row r="505" spans="1:7" x14ac:dyDescent="0.25">
      <c r="A505" s="252"/>
      <c r="B505" s="252"/>
      <c r="C505" s="252"/>
      <c r="D505" s="252"/>
      <c r="E505" s="252"/>
      <c r="F505" s="252"/>
      <c r="G505" s="252"/>
    </row>
    <row r="506" spans="1:7" x14ac:dyDescent="0.25">
      <c r="A506" s="252"/>
      <c r="B506" s="252"/>
      <c r="C506" s="252"/>
      <c r="D506" s="252"/>
      <c r="E506" s="252"/>
      <c r="F506" s="252"/>
      <c r="G506" s="252"/>
    </row>
    <row r="507" spans="1:7" x14ac:dyDescent="0.25">
      <c r="A507" s="252"/>
      <c r="B507" s="252"/>
      <c r="C507" s="252"/>
      <c r="D507" s="252"/>
      <c r="E507" s="252"/>
      <c r="F507" s="252"/>
      <c r="G507" s="252"/>
    </row>
    <row r="508" spans="1:7" x14ac:dyDescent="0.25">
      <c r="A508" s="252"/>
      <c r="B508" s="252"/>
      <c r="C508" s="252"/>
      <c r="D508" s="252"/>
      <c r="E508" s="252"/>
      <c r="F508" s="252"/>
      <c r="G508" s="252"/>
    </row>
    <row r="509" spans="1:7" x14ac:dyDescent="0.25">
      <c r="A509" s="252"/>
      <c r="B509" s="252"/>
      <c r="C509" s="252"/>
      <c r="D509" s="252"/>
      <c r="E509" s="252"/>
      <c r="F509" s="252"/>
      <c r="G509" s="252"/>
    </row>
    <row r="510" spans="1:7" x14ac:dyDescent="0.25">
      <c r="A510" s="252"/>
      <c r="B510" s="252"/>
      <c r="C510" s="252"/>
      <c r="D510" s="252"/>
      <c r="E510" s="252"/>
      <c r="F510" s="252"/>
      <c r="G510" s="252"/>
    </row>
    <row r="511" spans="1:7" x14ac:dyDescent="0.25">
      <c r="A511" s="252"/>
      <c r="B511" s="252"/>
      <c r="C511" s="252"/>
      <c r="D511" s="252"/>
      <c r="E511" s="252"/>
      <c r="F511" s="252"/>
      <c r="G511" s="252"/>
    </row>
    <row r="512" spans="1:7" x14ac:dyDescent="0.25">
      <c r="A512" s="252"/>
      <c r="B512" s="252"/>
      <c r="C512" s="252"/>
      <c r="D512" s="252"/>
      <c r="E512" s="252"/>
      <c r="F512" s="252"/>
      <c r="G512" s="252"/>
    </row>
    <row r="513" spans="1:7" x14ac:dyDescent="0.25">
      <c r="A513" s="252"/>
      <c r="B513" s="252"/>
      <c r="C513" s="252"/>
      <c r="D513" s="252"/>
      <c r="E513" s="252"/>
      <c r="F513" s="252"/>
      <c r="G513" s="252"/>
    </row>
    <row r="514" spans="1:7" x14ac:dyDescent="0.25">
      <c r="A514" s="252"/>
      <c r="B514" s="252"/>
      <c r="C514" s="252"/>
      <c r="D514" s="252"/>
      <c r="E514" s="252"/>
      <c r="F514" s="252"/>
      <c r="G514" s="252"/>
    </row>
    <row r="515" spans="1:7" x14ac:dyDescent="0.25">
      <c r="A515" s="252"/>
      <c r="B515" s="252"/>
      <c r="C515" s="252"/>
      <c r="D515" s="252"/>
      <c r="E515" s="252"/>
      <c r="F515" s="252"/>
      <c r="G515" s="252"/>
    </row>
    <row r="516" spans="1:7" x14ac:dyDescent="0.25">
      <c r="A516" s="252"/>
      <c r="B516" s="252"/>
      <c r="C516" s="252"/>
      <c r="D516" s="252"/>
      <c r="E516" s="252"/>
      <c r="F516" s="252"/>
      <c r="G516" s="252"/>
    </row>
    <row r="517" spans="1:7" x14ac:dyDescent="0.25">
      <c r="A517" s="252"/>
      <c r="B517" s="252"/>
      <c r="C517" s="252"/>
      <c r="D517" s="252"/>
      <c r="E517" s="252"/>
      <c r="F517" s="252"/>
      <c r="G517" s="252"/>
    </row>
    <row r="518" spans="1:7" x14ac:dyDescent="0.25">
      <c r="A518" s="252"/>
      <c r="B518" s="252"/>
      <c r="C518" s="252"/>
      <c r="D518" s="252"/>
      <c r="E518" s="252"/>
      <c r="F518" s="252"/>
      <c r="G518" s="252"/>
    </row>
    <row r="519" spans="1:7" x14ac:dyDescent="0.25">
      <c r="A519" s="252"/>
      <c r="B519" s="252"/>
      <c r="C519" s="252"/>
      <c r="D519" s="252"/>
      <c r="E519" s="252"/>
      <c r="F519" s="252"/>
      <c r="G519" s="252"/>
    </row>
    <row r="520" spans="1:7" x14ac:dyDescent="0.25">
      <c r="A520" s="252"/>
      <c r="B520" s="252"/>
      <c r="C520" s="252"/>
      <c r="D520" s="252"/>
      <c r="E520" s="252"/>
      <c r="F520" s="252"/>
      <c r="G520" s="252"/>
    </row>
    <row r="521" spans="1:7" x14ac:dyDescent="0.25">
      <c r="A521" s="252"/>
      <c r="B521" s="252"/>
      <c r="C521" s="252"/>
      <c r="D521" s="252"/>
      <c r="E521" s="252"/>
      <c r="F521" s="252"/>
      <c r="G521" s="252"/>
    </row>
    <row r="522" spans="1:7" x14ac:dyDescent="0.25">
      <c r="A522" s="252"/>
      <c r="B522" s="252"/>
      <c r="C522" s="252"/>
      <c r="D522" s="252"/>
      <c r="E522" s="252"/>
      <c r="F522" s="252"/>
      <c r="G522" s="252"/>
    </row>
    <row r="523" spans="1:7" x14ac:dyDescent="0.25">
      <c r="A523" s="252"/>
      <c r="B523" s="252"/>
      <c r="C523" s="252"/>
      <c r="D523" s="252"/>
      <c r="E523" s="252"/>
      <c r="F523" s="252"/>
      <c r="G523" s="252"/>
    </row>
  </sheetData>
  <autoFilter ref="A2:P493"/>
  <mergeCells count="5">
    <mergeCell ref="A1:C1"/>
    <mergeCell ref="D1:I1"/>
    <mergeCell ref="J1:O1"/>
    <mergeCell ref="U2:W2"/>
    <mergeCell ref="Y3:A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topLeftCell="B1" workbookViewId="0">
      <selection activeCell="E15" sqref="E15"/>
    </sheetView>
  </sheetViews>
  <sheetFormatPr defaultRowHeight="15" x14ac:dyDescent="0.25"/>
  <cols>
    <col min="1" max="1" width="13.42578125" hidden="1" customWidth="1"/>
    <col min="2" max="2" width="40" bestFit="1" customWidth="1"/>
    <col min="3" max="3" width="6.28515625" bestFit="1" customWidth="1"/>
    <col min="4" max="4" width="6.85546875" customWidth="1"/>
    <col min="5" max="5" width="7.28515625" bestFit="1" customWidth="1"/>
    <col min="6" max="6" width="5" bestFit="1" customWidth="1"/>
    <col min="7" max="7" width="6.85546875" customWidth="1"/>
    <col min="8" max="8" width="7.42578125" customWidth="1"/>
    <col min="9" max="9" width="5" bestFit="1" customWidth="1"/>
    <col min="10" max="10" width="6.42578125" bestFit="1" customWidth="1"/>
    <col min="11" max="11" width="7.28515625" bestFit="1" customWidth="1"/>
    <col min="13" max="13" width="13.7109375" customWidth="1"/>
    <col min="14" max="14" width="8.140625" customWidth="1"/>
    <col min="15" max="15" width="5.85546875" bestFit="1" customWidth="1"/>
    <col min="16" max="16" width="6.42578125" customWidth="1"/>
    <col min="17" max="17" width="6.140625" customWidth="1"/>
    <col min="18" max="18" width="5.85546875" customWidth="1"/>
    <col min="19" max="19" width="7.5703125" customWidth="1"/>
    <col min="20" max="20" width="7.140625" customWidth="1"/>
  </cols>
  <sheetData>
    <row r="1" spans="1:25" x14ac:dyDescent="0.25">
      <c r="C1" t="s">
        <v>59</v>
      </c>
      <c r="M1" t="s">
        <v>1140</v>
      </c>
    </row>
    <row r="2" spans="1:25" x14ac:dyDescent="0.25">
      <c r="B2" s="30"/>
      <c r="C2" s="30">
        <v>2017</v>
      </c>
      <c r="D2" s="30" t="s">
        <v>1113</v>
      </c>
      <c r="E2" s="30" t="s">
        <v>1114</v>
      </c>
      <c r="F2" s="30">
        <v>2018</v>
      </c>
      <c r="G2" s="30" t="s">
        <v>1113</v>
      </c>
      <c r="H2" s="30" t="s">
        <v>1114</v>
      </c>
      <c r="I2" s="30">
        <v>2019</v>
      </c>
      <c r="J2" s="30" t="s">
        <v>1113</v>
      </c>
      <c r="K2" s="30" t="s">
        <v>1114</v>
      </c>
      <c r="L2" s="35"/>
    </row>
    <row r="3" spans="1:25" ht="30" x14ac:dyDescent="0.25">
      <c r="A3" t="s">
        <v>1147</v>
      </c>
      <c r="B3" s="258" t="s">
        <v>1010</v>
      </c>
      <c r="C3" s="352">
        <f>N13+N19+N43</f>
        <v>138</v>
      </c>
      <c r="D3" s="354">
        <f>N12+N18+N42</f>
        <v>43</v>
      </c>
      <c r="E3" s="354">
        <f>N11+N17+N41</f>
        <v>95</v>
      </c>
      <c r="F3" s="120">
        <f>(O13-N13)+(O19-N19)+O43</f>
        <v>9</v>
      </c>
      <c r="G3" s="120">
        <f>(O12-N12)+(O18-N18)</f>
        <v>2</v>
      </c>
      <c r="H3" s="120">
        <f>(O11-N11)+(O17-N17)</f>
        <v>7</v>
      </c>
      <c r="I3" s="120">
        <f>(P13-O13)+(P19-O19)+P43</f>
        <v>0</v>
      </c>
      <c r="J3" s="120">
        <f>(P12-O12)+(P18-O18)</f>
        <v>0</v>
      </c>
      <c r="K3" s="120">
        <f>(P11-O11)+(P17-O17)</f>
        <v>0</v>
      </c>
      <c r="L3" s="40"/>
      <c r="M3" s="120" t="s">
        <v>6</v>
      </c>
      <c r="N3" s="30" t="s">
        <v>3</v>
      </c>
      <c r="O3" s="30"/>
      <c r="P3" s="30"/>
      <c r="Q3" s="30"/>
      <c r="R3" s="30"/>
      <c r="S3" s="30"/>
    </row>
    <row r="4" spans="1:25" ht="30" x14ac:dyDescent="0.25">
      <c r="A4" t="s">
        <v>1147</v>
      </c>
      <c r="B4" s="32" t="s">
        <v>1219</v>
      </c>
      <c r="C4" s="348">
        <f>N43</f>
        <v>7</v>
      </c>
      <c r="D4" s="348">
        <f>N42</f>
        <v>6</v>
      </c>
      <c r="E4" s="348">
        <f>N41</f>
        <v>1</v>
      </c>
      <c r="F4" s="30">
        <f>O43</f>
        <v>0</v>
      </c>
      <c r="G4" s="30">
        <v>0</v>
      </c>
      <c r="H4" s="30">
        <v>0</v>
      </c>
      <c r="I4" s="30">
        <f>P43</f>
        <v>0</v>
      </c>
      <c r="J4" s="30">
        <f>J3</f>
        <v>0</v>
      </c>
      <c r="K4" s="30">
        <f>K3</f>
        <v>0</v>
      </c>
      <c r="L4" s="35"/>
      <c r="M4" s="30" t="s">
        <v>5</v>
      </c>
      <c r="N4" s="30" t="s">
        <v>1135</v>
      </c>
      <c r="O4" s="30" t="s">
        <v>1136</v>
      </c>
      <c r="P4" s="30" t="s">
        <v>1137</v>
      </c>
      <c r="Q4" s="30" t="s">
        <v>1138</v>
      </c>
      <c r="R4" s="30" t="s">
        <v>1139</v>
      </c>
      <c r="S4" s="30" t="s">
        <v>4</v>
      </c>
    </row>
    <row r="5" spans="1:25" x14ac:dyDescent="0.25">
      <c r="A5" t="s">
        <v>1147</v>
      </c>
      <c r="B5" s="30" t="s">
        <v>1149</v>
      </c>
      <c r="C5" s="354">
        <f>C3</f>
        <v>138</v>
      </c>
      <c r="D5" s="354">
        <f>D3</f>
        <v>43</v>
      </c>
      <c r="E5" s="354">
        <f>E3</f>
        <v>95</v>
      </c>
      <c r="F5" s="30">
        <f t="shared" ref="F5:K5" si="0">F3+C5+F4</f>
        <v>147</v>
      </c>
      <c r="G5" s="30">
        <f t="shared" si="0"/>
        <v>45</v>
      </c>
      <c r="H5" s="30">
        <f t="shared" si="0"/>
        <v>102</v>
      </c>
      <c r="I5" s="30">
        <f t="shared" si="0"/>
        <v>147</v>
      </c>
      <c r="J5" s="30">
        <f t="shared" si="0"/>
        <v>45</v>
      </c>
      <c r="K5" s="30">
        <f t="shared" si="0"/>
        <v>102</v>
      </c>
      <c r="L5" s="35"/>
      <c r="M5" s="30" t="s">
        <v>1114</v>
      </c>
      <c r="N5" s="30">
        <v>81</v>
      </c>
      <c r="O5" s="30">
        <v>4</v>
      </c>
      <c r="P5" s="30">
        <v>4</v>
      </c>
      <c r="Q5" s="30">
        <v>1</v>
      </c>
      <c r="R5" s="30">
        <v>3</v>
      </c>
      <c r="S5" s="30">
        <v>93</v>
      </c>
    </row>
    <row r="6" spans="1:25" x14ac:dyDescent="0.25">
      <c r="A6" t="s">
        <v>1009</v>
      </c>
      <c r="B6" s="30" t="s">
        <v>1011</v>
      </c>
      <c r="C6" s="30">
        <f>N25</f>
        <v>101</v>
      </c>
      <c r="D6" s="30">
        <f>N24</f>
        <v>25</v>
      </c>
      <c r="E6" s="30">
        <f>N23</f>
        <v>76</v>
      </c>
      <c r="F6" s="30">
        <f>O25</f>
        <v>104</v>
      </c>
      <c r="G6" s="30">
        <f>O24</f>
        <v>26</v>
      </c>
      <c r="H6" s="30">
        <f>O23</f>
        <v>78</v>
      </c>
      <c r="I6" s="30">
        <f>P25</f>
        <v>117</v>
      </c>
      <c r="J6" s="30">
        <f>P24</f>
        <v>30</v>
      </c>
      <c r="K6" s="30">
        <f>P23</f>
        <v>87</v>
      </c>
      <c r="L6" s="35"/>
      <c r="M6" s="30" t="s">
        <v>1113</v>
      </c>
      <c r="N6" s="30">
        <v>26</v>
      </c>
      <c r="O6" s="30">
        <v>5</v>
      </c>
      <c r="P6" s="30">
        <v>1</v>
      </c>
      <c r="Q6" s="30">
        <v>2</v>
      </c>
      <c r="R6" s="30">
        <v>1</v>
      </c>
      <c r="S6" s="30">
        <v>35</v>
      </c>
    </row>
    <row r="7" spans="1:25" x14ac:dyDescent="0.25">
      <c r="A7" t="s">
        <v>1147</v>
      </c>
      <c r="B7" s="302" t="s">
        <v>1218</v>
      </c>
      <c r="C7" s="353">
        <f>(N13+N19)-C6</f>
        <v>30</v>
      </c>
      <c r="D7" s="356">
        <f>(N12+N18)-D6</f>
        <v>12</v>
      </c>
      <c r="E7" s="356">
        <f>(N11+N17)-E6</f>
        <v>18</v>
      </c>
      <c r="F7" s="353">
        <f>(O13+O19)-F6</f>
        <v>36</v>
      </c>
      <c r="G7" s="356">
        <f>(O12+O18)-G6</f>
        <v>13</v>
      </c>
      <c r="H7" s="356">
        <f>(O11+O17)-H6</f>
        <v>23</v>
      </c>
      <c r="I7" s="353">
        <f>(P13+P19)-I6</f>
        <v>23</v>
      </c>
      <c r="J7" s="356">
        <f>(P12+P18)-J6</f>
        <v>9</v>
      </c>
      <c r="K7" s="356">
        <f>(P11+P17)-K6</f>
        <v>14</v>
      </c>
      <c r="L7" s="301"/>
      <c r="M7" s="30" t="s">
        <v>4</v>
      </c>
      <c r="N7" s="30">
        <v>107</v>
      </c>
      <c r="O7" s="30">
        <v>9</v>
      </c>
      <c r="P7" s="30">
        <v>5</v>
      </c>
      <c r="Q7" s="30">
        <v>3</v>
      </c>
      <c r="R7" s="30">
        <v>4</v>
      </c>
      <c r="S7" s="30">
        <v>128</v>
      </c>
    </row>
    <row r="8" spans="1:25" x14ac:dyDescent="0.25">
      <c r="A8" t="s">
        <v>1009</v>
      </c>
      <c r="B8" s="2" t="s">
        <v>1012</v>
      </c>
      <c r="C8" s="30">
        <f t="shared" ref="C8:K8" si="1">C7*0.5</f>
        <v>15</v>
      </c>
      <c r="D8" s="30">
        <f t="shared" si="1"/>
        <v>6</v>
      </c>
      <c r="E8" s="30">
        <f t="shared" si="1"/>
        <v>9</v>
      </c>
      <c r="F8" s="30">
        <f t="shared" si="1"/>
        <v>18</v>
      </c>
      <c r="G8" s="30">
        <f t="shared" si="1"/>
        <v>6.5</v>
      </c>
      <c r="H8" s="30">
        <f t="shared" si="1"/>
        <v>11.5</v>
      </c>
      <c r="I8" s="30">
        <f t="shared" si="1"/>
        <v>11.5</v>
      </c>
      <c r="J8" s="30">
        <f t="shared" si="1"/>
        <v>4.5</v>
      </c>
      <c r="K8" s="30">
        <f t="shared" si="1"/>
        <v>7</v>
      </c>
      <c r="L8" s="35"/>
    </row>
    <row r="9" spans="1:25" x14ac:dyDescent="0.25">
      <c r="A9" t="s">
        <v>1009</v>
      </c>
      <c r="B9" s="120" t="s">
        <v>120</v>
      </c>
      <c r="C9" s="120">
        <f>0.5*C7</f>
        <v>15</v>
      </c>
      <c r="D9" s="120">
        <f>0.5*D7</f>
        <v>6</v>
      </c>
      <c r="E9" s="120">
        <f>0.5*E7</f>
        <v>9</v>
      </c>
      <c r="F9" s="259">
        <f t="shared" ref="F9:K9" si="2">(F7-C7)*0.5</f>
        <v>3</v>
      </c>
      <c r="G9" s="259">
        <f t="shared" si="2"/>
        <v>0.5</v>
      </c>
      <c r="H9" s="259">
        <f t="shared" si="2"/>
        <v>2.5</v>
      </c>
      <c r="I9" s="259">
        <f t="shared" si="2"/>
        <v>-6.5</v>
      </c>
      <c r="J9" s="259">
        <f t="shared" si="2"/>
        <v>-2</v>
      </c>
      <c r="K9" s="259">
        <f t="shared" si="2"/>
        <v>-4.5</v>
      </c>
      <c r="L9" s="40"/>
      <c r="M9" s="350" t="s">
        <v>1216</v>
      </c>
    </row>
    <row r="10" spans="1:25" x14ac:dyDescent="0.25">
      <c r="A10" t="s">
        <v>1009</v>
      </c>
      <c r="B10" s="30" t="s">
        <v>1145</v>
      </c>
      <c r="C10" s="30"/>
      <c r="D10" s="30"/>
      <c r="E10" s="30"/>
      <c r="F10" s="30"/>
      <c r="G10" s="30"/>
      <c r="H10" s="30"/>
      <c r="I10" s="30"/>
      <c r="J10" s="30"/>
      <c r="K10" s="30"/>
      <c r="L10" s="30"/>
      <c r="M10" s="256" t="s">
        <v>1141</v>
      </c>
      <c r="N10" s="30">
        <v>2017</v>
      </c>
      <c r="O10" s="30">
        <v>2018</v>
      </c>
      <c r="P10" s="30">
        <v>2019</v>
      </c>
      <c r="Q10" s="256" t="s">
        <v>1144</v>
      </c>
      <c r="R10" s="30">
        <v>2017</v>
      </c>
      <c r="S10" s="30">
        <v>2018</v>
      </c>
      <c r="T10" s="30">
        <v>2019</v>
      </c>
    </row>
    <row r="11" spans="1:25" x14ac:dyDescent="0.25">
      <c r="C11">
        <f>15+18+18</f>
        <v>51</v>
      </c>
      <c r="D11" s="431">
        <f>C11/3</f>
        <v>17</v>
      </c>
      <c r="M11" s="30" t="s">
        <v>1114</v>
      </c>
      <c r="N11" s="30">
        <f>SUM(N5:Q5)</f>
        <v>90</v>
      </c>
      <c r="O11" s="30">
        <f>N11+R5</f>
        <v>93</v>
      </c>
      <c r="P11" s="30">
        <f>O11</f>
        <v>93</v>
      </c>
      <c r="Q11" s="30" t="s">
        <v>1114</v>
      </c>
      <c r="R11" s="300">
        <f t="shared" ref="R11:T12" si="3">N11/(N$11+N$12)</f>
        <v>0.72580645161290325</v>
      </c>
      <c r="S11" s="300">
        <f t="shared" si="3"/>
        <v>0.7265625</v>
      </c>
      <c r="T11" s="300">
        <f t="shared" si="3"/>
        <v>0.7265625</v>
      </c>
    </row>
    <row r="12" spans="1:25" ht="45" x14ac:dyDescent="0.25">
      <c r="A12" s="6" t="s">
        <v>1157</v>
      </c>
      <c r="B12" s="5" t="s">
        <v>1156</v>
      </c>
      <c r="C12" s="5">
        <f>N25</f>
        <v>101</v>
      </c>
      <c r="D12">
        <f>N24</f>
        <v>25</v>
      </c>
      <c r="E12">
        <f>N23</f>
        <v>76</v>
      </c>
      <c r="F12" s="5">
        <f>O25-C12</f>
        <v>3</v>
      </c>
      <c r="G12" s="239">
        <f>O24-N24</f>
        <v>1</v>
      </c>
      <c r="H12" s="239">
        <f>O23-N23</f>
        <v>2</v>
      </c>
      <c r="I12" s="5">
        <f>P25-O25</f>
        <v>13</v>
      </c>
      <c r="J12" s="239">
        <f>P24-O24</f>
        <v>4</v>
      </c>
      <c r="K12" s="239">
        <f>P23-O23</f>
        <v>9</v>
      </c>
      <c r="M12" s="30" t="s">
        <v>1113</v>
      </c>
      <c r="N12" s="30">
        <f>SUM(N6:Q6)</f>
        <v>34</v>
      </c>
      <c r="O12" s="30">
        <f>N12+R6</f>
        <v>35</v>
      </c>
      <c r="P12" s="30">
        <f>O12</f>
        <v>35</v>
      </c>
      <c r="Q12" s="30" t="s">
        <v>1113</v>
      </c>
      <c r="R12" s="300">
        <f t="shared" si="3"/>
        <v>0.27419354838709675</v>
      </c>
      <c r="S12" s="300">
        <f t="shared" si="3"/>
        <v>0.2734375</v>
      </c>
      <c r="T12" s="300">
        <f t="shared" si="3"/>
        <v>0.2734375</v>
      </c>
    </row>
    <row r="13" spans="1:25" x14ac:dyDescent="0.25">
      <c r="F13" s="35"/>
      <c r="M13" s="40" t="s">
        <v>89</v>
      </c>
      <c r="N13" s="40">
        <f>N11+N12</f>
        <v>124</v>
      </c>
      <c r="O13" s="40">
        <f>O11+O12</f>
        <v>128</v>
      </c>
      <c r="P13" s="40">
        <f>P11+P12</f>
        <v>128</v>
      </c>
    </row>
    <row r="14" spans="1:25" x14ac:dyDescent="0.25">
      <c r="B14" t="s">
        <v>1263</v>
      </c>
      <c r="D14">
        <f>(D5-D6)/(C5-C6)</f>
        <v>0.48648648648648651</v>
      </c>
      <c r="E14">
        <f>(E5-E6)/(C5-C6)</f>
        <v>0.51351351351351349</v>
      </c>
      <c r="M14" s="40"/>
    </row>
    <row r="15" spans="1:25" x14ac:dyDescent="0.25">
      <c r="B15" t="s">
        <v>1226</v>
      </c>
      <c r="D15" s="300">
        <f>D3/C3</f>
        <v>0.31159420289855072</v>
      </c>
      <c r="E15" s="300">
        <f>E3/C3</f>
        <v>0.68840579710144922</v>
      </c>
      <c r="G15" s="300">
        <f>G3/F3</f>
        <v>0.22222222222222221</v>
      </c>
      <c r="H15" s="300">
        <f>H3/F3</f>
        <v>0.77777777777777779</v>
      </c>
      <c r="J15" s="300">
        <v>0</v>
      </c>
      <c r="K15" s="300">
        <v>0</v>
      </c>
      <c r="M15" s="346" t="s">
        <v>1217</v>
      </c>
      <c r="V15" s="255" t="s">
        <v>1134</v>
      </c>
      <c r="W15" s="255"/>
      <c r="X15" s="255"/>
      <c r="Y15" s="255"/>
    </row>
    <row r="16" spans="1:25" x14ac:dyDescent="0.25">
      <c r="B16" t="s">
        <v>1225</v>
      </c>
      <c r="D16" s="300">
        <f>D5/C5</f>
        <v>0.31159420289855072</v>
      </c>
      <c r="E16" s="300">
        <f>E5/C5</f>
        <v>0.68840579710144922</v>
      </c>
      <c r="G16" s="300">
        <f>G5/F5</f>
        <v>0.30612244897959184</v>
      </c>
      <c r="H16" s="300">
        <f>H5/F5</f>
        <v>0.69387755102040816</v>
      </c>
      <c r="J16" s="300">
        <f>J5/I5</f>
        <v>0.30612244897959184</v>
      </c>
      <c r="K16" s="300">
        <f>K5/I5</f>
        <v>0.69387755102040816</v>
      </c>
      <c r="M16" s="256" t="s">
        <v>1141</v>
      </c>
      <c r="N16" s="30">
        <v>2017</v>
      </c>
      <c r="O16" s="30">
        <v>2018</v>
      </c>
      <c r="P16" s="30">
        <v>2019</v>
      </c>
      <c r="Q16" s="256" t="s">
        <v>1144</v>
      </c>
      <c r="R16" s="30">
        <v>2017</v>
      </c>
      <c r="S16" s="30">
        <v>2018</v>
      </c>
      <c r="T16" s="30">
        <v>2019</v>
      </c>
      <c r="V16" s="260" t="s">
        <v>1013</v>
      </c>
      <c r="W16" s="260"/>
      <c r="X16" s="255"/>
      <c r="Y16" s="255"/>
    </row>
    <row r="17" spans="2:27" x14ac:dyDescent="0.25">
      <c r="M17" s="30" t="s">
        <v>1114</v>
      </c>
      <c r="N17" s="30">
        <v>4</v>
      </c>
      <c r="O17" s="30">
        <v>8</v>
      </c>
      <c r="P17" s="30">
        <v>8</v>
      </c>
      <c r="Q17" s="30" t="s">
        <v>1114</v>
      </c>
      <c r="R17" s="300">
        <f t="shared" ref="R17:T18" si="4">N17/(N$17+N$18)</f>
        <v>0.5714285714285714</v>
      </c>
      <c r="S17" s="300">
        <f t="shared" si="4"/>
        <v>0.66666666666666663</v>
      </c>
      <c r="T17" s="300">
        <f t="shared" si="4"/>
        <v>0.66666666666666663</v>
      </c>
      <c r="V17" s="261" t="s">
        <v>1014</v>
      </c>
      <c r="W17" s="261" t="s">
        <v>8</v>
      </c>
      <c r="X17" s="261" t="s">
        <v>1131</v>
      </c>
      <c r="Y17" s="261" t="s">
        <v>1015</v>
      </c>
      <c r="Z17" s="261" t="s">
        <v>1132</v>
      </c>
      <c r="AA17" s="261" t="s">
        <v>1133</v>
      </c>
    </row>
    <row r="18" spans="2:27" x14ac:dyDescent="0.25">
      <c r="E18">
        <f>5/45</f>
        <v>0.1111111111111111</v>
      </c>
      <c r="M18" s="30" t="s">
        <v>1113</v>
      </c>
      <c r="N18" s="30">
        <v>3</v>
      </c>
      <c r="O18" s="30">
        <v>4</v>
      </c>
      <c r="P18" s="30">
        <v>4</v>
      </c>
      <c r="Q18" s="30" t="s">
        <v>1113</v>
      </c>
      <c r="R18" s="300">
        <f t="shared" si="4"/>
        <v>0.42857142857142855</v>
      </c>
      <c r="S18" s="300">
        <f t="shared" si="4"/>
        <v>0.33333333333333331</v>
      </c>
      <c r="T18" s="300">
        <f t="shared" si="4"/>
        <v>0.33333333333333331</v>
      </c>
      <c r="V18" s="262" t="s">
        <v>1130</v>
      </c>
      <c r="W18" s="262" t="s">
        <v>988</v>
      </c>
      <c r="X18" s="263">
        <v>101</v>
      </c>
      <c r="Y18" s="263">
        <v>2017</v>
      </c>
      <c r="Z18" s="263">
        <v>8970.9234552736598</v>
      </c>
      <c r="AA18" s="263">
        <v>35337145.963525429</v>
      </c>
    </row>
    <row r="19" spans="2:27" x14ac:dyDescent="0.25">
      <c r="E19">
        <f>10/102</f>
        <v>9.8039215686274508E-2</v>
      </c>
      <c r="N19" s="40">
        <f>N17+N18</f>
        <v>7</v>
      </c>
      <c r="O19" s="40">
        <f>O17+O18</f>
        <v>12</v>
      </c>
      <c r="P19" s="40">
        <f>P17+P18</f>
        <v>12</v>
      </c>
      <c r="V19" s="262" t="s">
        <v>1130</v>
      </c>
      <c r="W19" s="262" t="s">
        <v>988</v>
      </c>
      <c r="X19" s="263">
        <v>104</v>
      </c>
      <c r="Y19" s="263">
        <v>2018</v>
      </c>
      <c r="Z19" s="263">
        <v>9743.2846317545882</v>
      </c>
      <c r="AA19" s="263">
        <v>38379535.051554322</v>
      </c>
    </row>
    <row r="20" spans="2:27" x14ac:dyDescent="0.25">
      <c r="B20" t="s">
        <v>1233</v>
      </c>
      <c r="V20" s="262" t="s">
        <v>1130</v>
      </c>
      <c r="W20" s="262" t="s">
        <v>988</v>
      </c>
      <c r="X20" s="263">
        <v>117</v>
      </c>
      <c r="Y20" s="263">
        <v>2019</v>
      </c>
      <c r="Z20" s="263">
        <v>10283.326967375175</v>
      </c>
      <c r="AA20" s="263">
        <v>40506802.655101806</v>
      </c>
    </row>
    <row r="21" spans="2:27" x14ac:dyDescent="0.25">
      <c r="B21">
        <f>AVERAGE(C5,F5,I5)</f>
        <v>144</v>
      </c>
      <c r="M21" t="s">
        <v>1142</v>
      </c>
      <c r="O21" t="s">
        <v>1146</v>
      </c>
    </row>
    <row r="22" spans="2:27" x14ac:dyDescent="0.25">
      <c r="M22" s="256" t="s">
        <v>1141</v>
      </c>
      <c r="N22" s="30">
        <v>2017</v>
      </c>
      <c r="O22" s="30">
        <v>2018</v>
      </c>
      <c r="P22" s="30">
        <v>2019</v>
      </c>
      <c r="Q22" s="256" t="s">
        <v>1144</v>
      </c>
      <c r="R22" s="30">
        <v>2017</v>
      </c>
      <c r="S22" s="30">
        <v>2018</v>
      </c>
      <c r="T22" s="30">
        <v>2019</v>
      </c>
    </row>
    <row r="23" spans="2:27" x14ac:dyDescent="0.25">
      <c r="M23" s="30" t="s">
        <v>1114</v>
      </c>
      <c r="N23" s="30">
        <v>76</v>
      </c>
      <c r="O23" s="30">
        <v>78</v>
      </c>
      <c r="P23" s="30">
        <v>87</v>
      </c>
      <c r="Q23" s="30" t="s">
        <v>1114</v>
      </c>
      <c r="R23" s="300">
        <f t="shared" ref="R23:T24" si="5">N23/(N$23+N$24)</f>
        <v>0.75247524752475248</v>
      </c>
      <c r="S23" s="300">
        <f t="shared" si="5"/>
        <v>0.75</v>
      </c>
      <c r="T23" s="300">
        <f t="shared" si="5"/>
        <v>0.74358974358974361</v>
      </c>
    </row>
    <row r="24" spans="2:27" x14ac:dyDescent="0.25">
      <c r="C24">
        <f>C3-C4</f>
        <v>131</v>
      </c>
      <c r="D24">
        <f t="shared" ref="D24:I24" si="6">D3-D4</f>
        <v>37</v>
      </c>
      <c r="E24">
        <f t="shared" si="6"/>
        <v>94</v>
      </c>
      <c r="F24">
        <f t="shared" si="6"/>
        <v>9</v>
      </c>
      <c r="G24">
        <f t="shared" si="6"/>
        <v>2</v>
      </c>
      <c r="H24">
        <f t="shared" si="6"/>
        <v>7</v>
      </c>
      <c r="I24">
        <f t="shared" si="6"/>
        <v>0</v>
      </c>
      <c r="M24" s="30" t="s">
        <v>1113</v>
      </c>
      <c r="N24" s="30">
        <v>25</v>
      </c>
      <c r="O24" s="30">
        <v>26</v>
      </c>
      <c r="P24" s="30">
        <v>30</v>
      </c>
      <c r="Q24" s="30" t="s">
        <v>1113</v>
      </c>
      <c r="R24" s="300">
        <f t="shared" si="5"/>
        <v>0.24752475247524752</v>
      </c>
      <c r="S24" s="300">
        <f t="shared" si="5"/>
        <v>0.25</v>
      </c>
      <c r="T24" s="300">
        <f t="shared" si="5"/>
        <v>0.25641025641025639</v>
      </c>
    </row>
    <row r="25" spans="2:27" x14ac:dyDescent="0.25">
      <c r="B25">
        <f>131+9</f>
        <v>140</v>
      </c>
      <c r="C25">
        <f>C24</f>
        <v>131</v>
      </c>
      <c r="F25">
        <f>F24+C24</f>
        <v>140</v>
      </c>
      <c r="I25">
        <f>I24+F25</f>
        <v>140</v>
      </c>
      <c r="N25" s="40">
        <f>N23+N24</f>
        <v>101</v>
      </c>
      <c r="O25" s="40">
        <f>O23+O24</f>
        <v>104</v>
      </c>
      <c r="P25" s="40">
        <f>P23+P24</f>
        <v>117</v>
      </c>
    </row>
    <row r="26" spans="2:27" x14ac:dyDescent="0.25">
      <c r="B26">
        <f>B25/3</f>
        <v>46.666666666666664</v>
      </c>
    </row>
    <row r="27" spans="2:27" x14ac:dyDescent="0.25">
      <c r="M27" t="s">
        <v>1220</v>
      </c>
      <c r="P27" t="s">
        <v>1009</v>
      </c>
    </row>
    <row r="28" spans="2:27" x14ac:dyDescent="0.25">
      <c r="B28">
        <f>AVERAGE(C25:I25)</f>
        <v>137</v>
      </c>
      <c r="M28" s="256" t="s">
        <v>1141</v>
      </c>
      <c r="N28" s="30">
        <v>2017</v>
      </c>
      <c r="O28" s="30">
        <v>2018</v>
      </c>
      <c r="P28" s="30">
        <v>2019</v>
      </c>
      <c r="Q28" s="256" t="s">
        <v>1144</v>
      </c>
      <c r="R28" s="30">
        <v>2017</v>
      </c>
      <c r="S28" s="30">
        <v>2018</v>
      </c>
      <c r="T28" s="30">
        <v>2019</v>
      </c>
    </row>
    <row r="29" spans="2:27" x14ac:dyDescent="0.25">
      <c r="B29">
        <f>7/3</f>
        <v>2.3333333333333335</v>
      </c>
      <c r="M29" s="30" t="s">
        <v>1114</v>
      </c>
      <c r="N29" s="355">
        <f>(N11+N17)-E6</f>
        <v>18</v>
      </c>
      <c r="O29" s="355">
        <f>(O11+O17)-H6</f>
        <v>23</v>
      </c>
      <c r="P29" s="355">
        <f>(P11+P17)-K6</f>
        <v>14</v>
      </c>
      <c r="Q29" s="30" t="s">
        <v>1114</v>
      </c>
      <c r="R29" s="300">
        <f t="shared" ref="R29:T30" si="7">N29/(N$29+N$30)</f>
        <v>0.6</v>
      </c>
      <c r="S29" s="300">
        <f t="shared" si="7"/>
        <v>0.63888888888888884</v>
      </c>
      <c r="T29" s="300">
        <f t="shared" si="7"/>
        <v>0.60869565217391308</v>
      </c>
    </row>
    <row r="30" spans="2:27" x14ac:dyDescent="0.25">
      <c r="M30" s="30" t="s">
        <v>1113</v>
      </c>
      <c r="N30" s="355">
        <f>(N12+N18)-D6</f>
        <v>12</v>
      </c>
      <c r="O30" s="355">
        <f>(O12+O18)-G6</f>
        <v>13</v>
      </c>
      <c r="P30" s="355">
        <f>(P12+P18)-J6</f>
        <v>9</v>
      </c>
      <c r="Q30" s="30" t="s">
        <v>1113</v>
      </c>
      <c r="R30" s="300">
        <f t="shared" si="7"/>
        <v>0.4</v>
      </c>
      <c r="S30" s="300">
        <f t="shared" si="7"/>
        <v>0.3611111111111111</v>
      </c>
      <c r="T30" s="300">
        <f t="shared" si="7"/>
        <v>0.39130434782608697</v>
      </c>
    </row>
    <row r="31" spans="2:27" x14ac:dyDescent="0.25">
      <c r="N31" s="40">
        <f>N29+N30</f>
        <v>30</v>
      </c>
      <c r="O31" s="40">
        <f>O29+O30</f>
        <v>36</v>
      </c>
      <c r="P31" s="40">
        <f>P29+P30</f>
        <v>23</v>
      </c>
    </row>
    <row r="32" spans="2:27" x14ac:dyDescent="0.25">
      <c r="M32" t="s">
        <v>1148</v>
      </c>
    </row>
    <row r="34" spans="13:20" x14ac:dyDescent="0.25">
      <c r="M34" t="s">
        <v>1143</v>
      </c>
      <c r="P34" t="s">
        <v>1147</v>
      </c>
      <c r="Q34" s="256" t="s">
        <v>1144</v>
      </c>
      <c r="R34" s="30">
        <v>2017</v>
      </c>
      <c r="S34" s="30">
        <v>2018</v>
      </c>
      <c r="T34" s="30">
        <v>2019</v>
      </c>
    </row>
    <row r="35" spans="13:20" x14ac:dyDescent="0.25">
      <c r="M35" s="256" t="s">
        <v>1141</v>
      </c>
      <c r="N35">
        <f t="shared" ref="N35:P37" si="8">N29+N17</f>
        <v>22</v>
      </c>
      <c r="O35">
        <f t="shared" si="8"/>
        <v>31</v>
      </c>
      <c r="P35">
        <f t="shared" si="8"/>
        <v>22</v>
      </c>
      <c r="R35" s="300">
        <f t="shared" ref="R35:T36" si="9">N35/(N$35+N$36)</f>
        <v>0.59459459459459463</v>
      </c>
      <c r="S35" s="300">
        <f t="shared" si="9"/>
        <v>0.64583333333333337</v>
      </c>
      <c r="T35" s="300">
        <f t="shared" si="9"/>
        <v>0.62857142857142856</v>
      </c>
    </row>
    <row r="36" spans="13:20" x14ac:dyDescent="0.25">
      <c r="M36" s="30" t="s">
        <v>1114</v>
      </c>
      <c r="N36">
        <f t="shared" si="8"/>
        <v>15</v>
      </c>
      <c r="O36">
        <f t="shared" si="8"/>
        <v>17</v>
      </c>
      <c r="P36">
        <f t="shared" si="8"/>
        <v>13</v>
      </c>
      <c r="R36" s="300">
        <f t="shared" si="9"/>
        <v>0.40540540540540543</v>
      </c>
      <c r="S36" s="300">
        <f t="shared" si="9"/>
        <v>0.35416666666666669</v>
      </c>
      <c r="T36" s="300">
        <f t="shared" si="9"/>
        <v>0.37142857142857144</v>
      </c>
    </row>
    <row r="37" spans="13:20" x14ac:dyDescent="0.25">
      <c r="M37" s="30" t="s">
        <v>1113</v>
      </c>
      <c r="N37">
        <f t="shared" si="8"/>
        <v>37</v>
      </c>
      <c r="O37">
        <f t="shared" si="8"/>
        <v>48</v>
      </c>
      <c r="P37">
        <f t="shared" si="8"/>
        <v>35</v>
      </c>
      <c r="R37" s="300"/>
      <c r="S37" s="300"/>
    </row>
    <row r="39" spans="13:20" x14ac:dyDescent="0.25">
      <c r="M39" s="346" t="s">
        <v>1215</v>
      </c>
      <c r="N39" s="346"/>
      <c r="O39" s="346"/>
      <c r="P39" s="346"/>
      <c r="Q39" s="346"/>
    </row>
    <row r="40" spans="13:20" x14ac:dyDescent="0.25">
      <c r="M40" s="347" t="s">
        <v>1141</v>
      </c>
      <c r="N40" s="348">
        <v>2017</v>
      </c>
      <c r="O40" s="30">
        <v>2018</v>
      </c>
      <c r="P40" s="30">
        <v>2019</v>
      </c>
      <c r="Q40" s="347" t="s">
        <v>1144</v>
      </c>
      <c r="R40" s="346"/>
    </row>
    <row r="41" spans="13:20" x14ac:dyDescent="0.25">
      <c r="M41" s="348" t="s">
        <v>1114</v>
      </c>
      <c r="N41" s="348">
        <v>1</v>
      </c>
      <c r="O41">
        <v>0</v>
      </c>
      <c r="P41">
        <v>0</v>
      </c>
      <c r="Q41" s="348" t="s">
        <v>1114</v>
      </c>
      <c r="R41" s="349">
        <f>N41/SUM($N$41:$N$42)</f>
        <v>0.14285714285714285</v>
      </c>
    </row>
    <row r="42" spans="13:20" x14ac:dyDescent="0.25">
      <c r="M42" s="348" t="s">
        <v>1113</v>
      </c>
      <c r="N42" s="348">
        <v>6</v>
      </c>
      <c r="O42">
        <v>0</v>
      </c>
      <c r="P42">
        <v>0</v>
      </c>
      <c r="Q42" s="348" t="s">
        <v>1113</v>
      </c>
      <c r="R42" s="349">
        <f>N42/SUM($N$41:$N$42)</f>
        <v>0.8571428571428571</v>
      </c>
    </row>
    <row r="43" spans="13:20" x14ac:dyDescent="0.25">
      <c r="M43" s="351" t="s">
        <v>89</v>
      </c>
      <c r="N43">
        <f>SUM(N41:N42)</f>
        <v>7</v>
      </c>
      <c r="O43">
        <f>SUM(O41:O42)</f>
        <v>0</v>
      </c>
      <c r="P43">
        <f>SUM(P41:P42)</f>
        <v>0</v>
      </c>
    </row>
  </sheetData>
  <pageMargins left="0.45" right="0.45" top="0.5" bottom="0.5" header="0.3" footer="0.3"/>
  <pageSetup scale="80" orientation="portrait"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zoomScale="85" zoomScaleNormal="85" workbookViewId="0">
      <selection activeCell="E15" sqref="E15"/>
    </sheetView>
  </sheetViews>
  <sheetFormatPr defaultRowHeight="11.25" x14ac:dyDescent="0.2"/>
  <cols>
    <col min="1" max="1" width="38.28515625" style="142" customWidth="1"/>
    <col min="2" max="3" width="19.42578125" style="142" customWidth="1"/>
    <col min="4" max="4" width="12.7109375" style="142" customWidth="1"/>
    <col min="5" max="5" width="13.85546875" style="142" customWidth="1"/>
    <col min="6" max="6" width="16.42578125" style="142" customWidth="1"/>
    <col min="7" max="7" width="13.85546875" style="142" customWidth="1"/>
    <col min="8" max="8" width="16.42578125" style="142" customWidth="1"/>
    <col min="9" max="9" width="13.42578125" style="142" customWidth="1"/>
    <col min="10" max="10" width="12.140625" style="142" bestFit="1" customWidth="1"/>
    <col min="11" max="11" width="9.85546875" style="142" bestFit="1" customWidth="1"/>
    <col min="12" max="14" width="11.7109375" style="142" bestFit="1" customWidth="1"/>
    <col min="15" max="15" width="9.85546875" style="142" bestFit="1" customWidth="1"/>
    <col min="16" max="17" width="9.85546875" style="142" customWidth="1"/>
    <col min="18" max="16384" width="9.140625" style="142"/>
  </cols>
  <sheetData>
    <row r="1" spans="1:14" ht="13.5" thickBot="1" x14ac:dyDescent="0.25">
      <c r="A1" s="487" t="s">
        <v>1150</v>
      </c>
      <c r="B1" s="307" t="s">
        <v>124</v>
      </c>
      <c r="C1" s="307" t="s">
        <v>125</v>
      </c>
      <c r="D1" s="308" t="s">
        <v>1151</v>
      </c>
      <c r="E1" s="484" t="s">
        <v>1152</v>
      </c>
      <c r="F1" s="486"/>
      <c r="G1" s="304"/>
      <c r="H1" s="309"/>
      <c r="I1" s="309"/>
    </row>
    <row r="2" spans="1:14" ht="34.5" thickBot="1" x14ac:dyDescent="0.25">
      <c r="A2" s="488"/>
      <c r="B2" s="143" t="s">
        <v>126</v>
      </c>
      <c r="C2" s="147" t="s">
        <v>126</v>
      </c>
      <c r="D2" s="147" t="s">
        <v>126</v>
      </c>
      <c r="E2" s="147" t="s">
        <v>1153</v>
      </c>
      <c r="F2" s="146" t="s">
        <v>129</v>
      </c>
      <c r="G2" s="324" t="s">
        <v>1155</v>
      </c>
      <c r="H2" s="144" t="s">
        <v>127</v>
      </c>
      <c r="I2" s="145" t="s">
        <v>128</v>
      </c>
    </row>
    <row r="3" spans="1:14" x14ac:dyDescent="0.2">
      <c r="A3" s="148" t="s">
        <v>130</v>
      </c>
      <c r="B3" s="149">
        <f>SUM('Respondent Yr1'!J$26:M$26)</f>
        <v>83938.055057619771</v>
      </c>
      <c r="C3" s="149">
        <f>SUM('Respondent Yr1'!J$39:M$39)</f>
        <v>22471</v>
      </c>
      <c r="D3" s="149">
        <f>B3+C3</f>
        <v>106409.05505761977</v>
      </c>
      <c r="E3" s="310">
        <f>'Respondent Yr1'!N40</f>
        <v>6719415.7475925768</v>
      </c>
      <c r="F3" s="310">
        <f>'Respondent Yr1'!O$40</f>
        <v>541996.32224590122</v>
      </c>
      <c r="G3" s="310">
        <f>E3+F3</f>
        <v>7261412.0698384782</v>
      </c>
      <c r="H3" s="149">
        <f>'Annual # of Respondants'!C5</f>
        <v>138</v>
      </c>
      <c r="I3" s="150">
        <f>'Respondent Yr1'!P$40</f>
        <v>351.1</v>
      </c>
    </row>
    <row r="4" spans="1:14" x14ac:dyDescent="0.2">
      <c r="A4" s="148" t="s">
        <v>131</v>
      </c>
      <c r="B4" s="149">
        <f>SUM('Respondent Yr2'!J$26:M$26)</f>
        <v>69225.784415766888</v>
      </c>
      <c r="C4" s="149">
        <f>SUM('Respondent Yr2'!J$39:M$39)</f>
        <v>23161</v>
      </c>
      <c r="D4" s="149">
        <f>B4+C4</f>
        <v>92386.784415766888</v>
      </c>
      <c r="E4" s="310">
        <f>'Respondent Yr2'!N40</f>
        <v>5500188.6807636432</v>
      </c>
      <c r="F4" s="310">
        <f>'Respondent Yr2'!O$40</f>
        <v>564367.04356214439</v>
      </c>
      <c r="G4" s="310">
        <f>E4+F4</f>
        <v>6064555.7243257873</v>
      </c>
      <c r="H4" s="149">
        <f>'Annual # of Respondants'!F5</f>
        <v>147</v>
      </c>
      <c r="I4" s="150">
        <f>'Respondent Yr2'!P$40</f>
        <v>132.30000000000001</v>
      </c>
      <c r="K4" s="142">
        <f>(H3+H4)/3</f>
        <v>95</v>
      </c>
      <c r="M4" s="369">
        <f>F9/3</f>
        <v>157.81218600495907</v>
      </c>
    </row>
    <row r="5" spans="1:14" x14ac:dyDescent="0.2">
      <c r="A5" s="148" t="s">
        <v>132</v>
      </c>
      <c r="B5" s="149">
        <f>SUM('Respondent Yr3'!J$26:M$26)</f>
        <v>78326.644967737753</v>
      </c>
      <c r="C5" s="149">
        <f>SUM('Respondent Yr3'!J$39:M$39)</f>
        <v>25971.600000000002</v>
      </c>
      <c r="D5" s="149">
        <f>B5+C5</f>
        <v>104298.24496773776</v>
      </c>
      <c r="E5" s="310">
        <f>'Respondent Yr3'!N40</f>
        <v>6217694.8596715983</v>
      </c>
      <c r="F5" s="310">
        <f>'Respondent Yr3'!O$40</f>
        <v>629388.6168602946</v>
      </c>
      <c r="G5" s="310">
        <f>E5+F5</f>
        <v>6847083.476531893</v>
      </c>
      <c r="H5" s="149">
        <f>'Annual # of Respondants'!I5</f>
        <v>147</v>
      </c>
      <c r="I5" s="150">
        <f>'Respondent Yr3'!P$40</f>
        <v>156.80000000000001</v>
      </c>
    </row>
    <row r="6" spans="1:14" x14ac:dyDescent="0.2">
      <c r="A6" s="148" t="s">
        <v>89</v>
      </c>
      <c r="B6" s="330">
        <f t="shared" ref="B6:G6" si="0">SUM(B3:B5)</f>
        <v>231490.4844411244</v>
      </c>
      <c r="C6" s="330">
        <f t="shared" si="0"/>
        <v>71603.600000000006</v>
      </c>
      <c r="D6" s="330">
        <f t="shared" si="0"/>
        <v>303094.0844411244</v>
      </c>
      <c r="E6" s="331">
        <f t="shared" si="0"/>
        <v>18437299.288027816</v>
      </c>
      <c r="F6" s="331">
        <f t="shared" si="0"/>
        <v>1735751.9826683402</v>
      </c>
      <c r="G6" s="331">
        <f t="shared" si="0"/>
        <v>20173051.270696159</v>
      </c>
      <c r="H6" s="330"/>
      <c r="I6" s="330">
        <f>SUM(I3:I5)</f>
        <v>640.20000000000005</v>
      </c>
      <c r="J6" s="142">
        <f>I6/H5</f>
        <v>4.3551020408163268</v>
      </c>
      <c r="K6" s="142">
        <f>J6/3</f>
        <v>1.4517006802721089</v>
      </c>
    </row>
    <row r="7" spans="1:14" ht="12" thickBot="1" x14ac:dyDescent="0.25">
      <c r="A7" s="151" t="s">
        <v>133</v>
      </c>
      <c r="B7" s="372">
        <f t="shared" ref="B7:H7" si="1">AVERAGE(B3:B5)</f>
        <v>77163.494813708137</v>
      </c>
      <c r="C7" s="373">
        <f t="shared" si="1"/>
        <v>23867.866666666669</v>
      </c>
      <c r="D7" s="311">
        <f>AVERAGE(D3:D5)</f>
        <v>101031.36148037481</v>
      </c>
      <c r="E7" s="312">
        <f t="shared" si="1"/>
        <v>6145766.4293426052</v>
      </c>
      <c r="F7" s="371">
        <f>AVERAGE(F3:F5)</f>
        <v>578583.99422278011</v>
      </c>
      <c r="G7" s="326">
        <f>AVERAGE(G3:G5)</f>
        <v>6724350.4235653868</v>
      </c>
      <c r="H7" s="152">
        <f t="shared" si="1"/>
        <v>144</v>
      </c>
      <c r="I7" s="370">
        <f>AVERAGE(I3:I5)</f>
        <v>213.4</v>
      </c>
      <c r="J7" s="368">
        <f>I7/H7</f>
        <v>1.4819444444444445</v>
      </c>
      <c r="K7" s="153"/>
    </row>
    <row r="8" spans="1:14" x14ac:dyDescent="0.2">
      <c r="A8" s="154" t="s">
        <v>134</v>
      </c>
      <c r="B8" s="155"/>
      <c r="C8" s="314"/>
      <c r="F8" s="157">
        <f>F7/I7</f>
        <v>2711.2652025434868</v>
      </c>
      <c r="G8" s="238"/>
      <c r="H8" s="156"/>
      <c r="I8" s="314"/>
      <c r="J8" s="153"/>
      <c r="K8" s="153"/>
    </row>
    <row r="9" spans="1:14" ht="12" thickBot="1" x14ac:dyDescent="0.25">
      <c r="A9" s="158" t="s">
        <v>135</v>
      </c>
      <c r="B9" s="159"/>
      <c r="C9" s="315"/>
      <c r="F9" s="316">
        <f>(B7+C7)/I7</f>
        <v>473.43655801487722</v>
      </c>
      <c r="G9" s="325"/>
      <c r="H9" s="160"/>
      <c r="I9" s="317"/>
      <c r="J9" s="153"/>
    </row>
    <row r="10" spans="1:14" ht="15" x14ac:dyDescent="0.25">
      <c r="A10"/>
      <c r="B10"/>
      <c r="C10"/>
      <c r="D10"/>
      <c r="E10"/>
      <c r="F10"/>
      <c r="G10"/>
      <c r="H10"/>
      <c r="I10"/>
      <c r="J10"/>
      <c r="K10"/>
      <c r="L10"/>
      <c r="M10"/>
      <c r="N10"/>
    </row>
    <row r="11" spans="1:14" ht="12" thickBot="1" x14ac:dyDescent="0.25"/>
    <row r="12" spans="1:14" ht="13.5" thickBot="1" x14ac:dyDescent="0.25">
      <c r="A12" s="487" t="s">
        <v>1150</v>
      </c>
      <c r="B12" s="303" t="s">
        <v>137</v>
      </c>
      <c r="C12" s="318" t="s">
        <v>136</v>
      </c>
      <c r="D12" s="235"/>
    </row>
    <row r="13" spans="1:14" ht="12" thickBot="1" x14ac:dyDescent="0.25">
      <c r="A13" s="488"/>
      <c r="B13" s="148" t="s">
        <v>138</v>
      </c>
      <c r="C13" s="319" t="s">
        <v>139</v>
      </c>
      <c r="D13" s="237"/>
    </row>
    <row r="14" spans="1:14" x14ac:dyDescent="0.2">
      <c r="A14" s="148" t="s">
        <v>130</v>
      </c>
      <c r="B14" s="320">
        <f>'1.C-Fed'!L$27</f>
        <v>5403.7349999999997</v>
      </c>
      <c r="C14" s="321">
        <f>'1.C-Fed'!M$26</f>
        <v>309399.13136</v>
      </c>
    </row>
    <row r="15" spans="1:14" x14ac:dyDescent="0.2">
      <c r="A15" s="148" t="s">
        <v>131</v>
      </c>
      <c r="B15" s="321">
        <f>'2.C-Fed'!L$27</f>
        <v>1238.2050000000002</v>
      </c>
      <c r="C15" s="321">
        <f>'2.C-Fed'!M26</f>
        <v>96947.346080000003</v>
      </c>
    </row>
    <row r="16" spans="1:14" x14ac:dyDescent="0.2">
      <c r="A16" s="148" t="s">
        <v>132</v>
      </c>
      <c r="B16" s="321">
        <f>'3.C-Fed'!L$27</f>
        <v>1729.2550000000001</v>
      </c>
      <c r="C16" s="321">
        <f>'3.C-Fed'!M26</f>
        <v>126694.79087999999</v>
      </c>
    </row>
    <row r="17" spans="1:21" ht="12" thickBot="1" x14ac:dyDescent="0.25">
      <c r="A17" s="151" t="s">
        <v>133</v>
      </c>
      <c r="B17" s="322">
        <f>AVERAGE(B14:B16)</f>
        <v>2790.3983333333331</v>
      </c>
      <c r="C17" s="322">
        <f>AVERAGE(C14:C16)</f>
        <v>177680.42277333335</v>
      </c>
      <c r="D17" s="323"/>
    </row>
    <row r="20" spans="1:21" ht="12" thickBot="1" x14ac:dyDescent="0.25">
      <c r="A20" s="142" t="s">
        <v>1184</v>
      </c>
    </row>
    <row r="21" spans="1:21" ht="15.75" customHeight="1" thickBot="1" x14ac:dyDescent="0.25">
      <c r="A21" s="487" t="s">
        <v>1150</v>
      </c>
      <c r="B21" s="484" t="s">
        <v>124</v>
      </c>
      <c r="C21" s="485"/>
      <c r="D21" s="486"/>
      <c r="E21" s="484" t="s">
        <v>125</v>
      </c>
      <c r="F21" s="485"/>
      <c r="G21" s="486"/>
      <c r="H21" s="308" t="s">
        <v>1151</v>
      </c>
      <c r="I21" s="484" t="s">
        <v>1152</v>
      </c>
      <c r="J21" s="485"/>
      <c r="K21" s="486"/>
      <c r="L21" s="329" t="s">
        <v>1113</v>
      </c>
      <c r="M21" s="329" t="s">
        <v>1114</v>
      </c>
      <c r="N21" s="329"/>
      <c r="O21" s="304"/>
      <c r="P21" s="367"/>
      <c r="Q21" s="367"/>
      <c r="R21" s="309"/>
      <c r="S21" s="309"/>
      <c r="T21" s="309"/>
      <c r="U21" s="309"/>
    </row>
    <row r="22" spans="1:21" ht="45.75" thickBot="1" x14ac:dyDescent="0.25">
      <c r="A22" s="488"/>
      <c r="B22" s="333" t="s">
        <v>1179</v>
      </c>
      <c r="C22" s="333" t="s">
        <v>1180</v>
      </c>
      <c r="D22" s="333" t="s">
        <v>1181</v>
      </c>
      <c r="E22" s="333" t="s">
        <v>1179</v>
      </c>
      <c r="F22" s="333" t="s">
        <v>1180</v>
      </c>
      <c r="G22" s="333" t="s">
        <v>1181</v>
      </c>
      <c r="H22" s="332" t="s">
        <v>126</v>
      </c>
      <c r="I22" s="332" t="s">
        <v>1182</v>
      </c>
      <c r="J22" s="332" t="s">
        <v>1183</v>
      </c>
      <c r="K22" s="332" t="s">
        <v>1153</v>
      </c>
      <c r="L22" s="146" t="s">
        <v>129</v>
      </c>
      <c r="M22" s="146" t="s">
        <v>129</v>
      </c>
      <c r="N22" s="146" t="s">
        <v>129</v>
      </c>
      <c r="O22" s="324" t="s">
        <v>1155</v>
      </c>
      <c r="P22" s="144" t="s">
        <v>1234</v>
      </c>
      <c r="Q22" s="144" t="s">
        <v>1235</v>
      </c>
      <c r="R22" s="144" t="s">
        <v>127</v>
      </c>
      <c r="S22" s="374" t="s">
        <v>1236</v>
      </c>
      <c r="T22" s="374" t="s">
        <v>1237</v>
      </c>
      <c r="U22" s="334" t="s">
        <v>128</v>
      </c>
    </row>
    <row r="23" spans="1:21" x14ac:dyDescent="0.2">
      <c r="A23" s="148" t="s">
        <v>130</v>
      </c>
      <c r="B23" s="149">
        <f>SUM('1.A-Public'!J$26:M$26)</f>
        <v>21245.877984559349</v>
      </c>
      <c r="C23" s="149">
        <f>SUM('1.B-Priv'!J$26:M$26)</f>
        <v>62692.177073060426</v>
      </c>
      <c r="D23" s="149">
        <f>B23+C23</f>
        <v>83938.055057619771</v>
      </c>
      <c r="E23" s="149">
        <f>SUM('1.A-Public'!J$38:M$38)</f>
        <v>5602.8</v>
      </c>
      <c r="F23" s="149">
        <f>SUM('1.B-Priv'!J$38:M$38)</f>
        <v>16868.2</v>
      </c>
      <c r="G23" s="149">
        <f>E23+F23</f>
        <v>22471</v>
      </c>
      <c r="H23" s="149">
        <f>D23+G23</f>
        <v>106409.05505761977</v>
      </c>
      <c r="I23" s="310">
        <f>'1.A-Public'!$N$39</f>
        <v>1705316.705092222</v>
      </c>
      <c r="J23" s="310">
        <f>'1.B-Priv'!$N$39</f>
        <v>5014099.0425003543</v>
      </c>
      <c r="K23" s="310">
        <f>I23+J23</f>
        <v>6719415.7475925758</v>
      </c>
      <c r="L23" s="310">
        <f>'1.A-Public'!O$39</f>
        <v>139772.97283747501</v>
      </c>
      <c r="M23" s="310">
        <f>'1.B-Priv'!O$39</f>
        <v>402223.34940842626</v>
      </c>
      <c r="N23" s="310">
        <f>L23+M23</f>
        <v>541996.32224590122</v>
      </c>
      <c r="O23" s="310">
        <f>K23+N23</f>
        <v>7261412.0698384773</v>
      </c>
      <c r="P23" s="149">
        <f>'Annual # of Respondants'!D5</f>
        <v>43</v>
      </c>
      <c r="Q23" s="149">
        <f>'Annual # of Respondants'!E5</f>
        <v>95</v>
      </c>
      <c r="R23" s="149">
        <f>'Annual # of Respondants'!C5</f>
        <v>138</v>
      </c>
      <c r="S23" s="381">
        <f>'1.A-Public'!P26</f>
        <v>95.5</v>
      </c>
      <c r="T23" s="381">
        <f>'1.B-Priv'!P26</f>
        <v>254.6</v>
      </c>
      <c r="U23" s="378">
        <f>S23+T23</f>
        <v>350.1</v>
      </c>
    </row>
    <row r="24" spans="1:21" x14ac:dyDescent="0.2">
      <c r="A24" s="148" t="s">
        <v>131</v>
      </c>
      <c r="B24" s="149">
        <f>SUM('2.A-Public'!J$26:M$26)</f>
        <v>17336.921103941724</v>
      </c>
      <c r="C24" s="149">
        <f>SUM('2.B-Priv'!J$26:M$26)</f>
        <v>51888.863311825175</v>
      </c>
      <c r="D24" s="149">
        <f>B24+C24</f>
        <v>69225.784415766902</v>
      </c>
      <c r="E24" s="149">
        <f>SUM('2.A-Public'!J$38:M$38)</f>
        <v>5828.2</v>
      </c>
      <c r="F24" s="149">
        <f>SUM('2.B-Priv'!J$38:M$38)</f>
        <v>17332.8</v>
      </c>
      <c r="G24" s="149">
        <f>E24+F24</f>
        <v>23161</v>
      </c>
      <c r="H24" s="149">
        <f>D24+G24</f>
        <v>92386.784415766902</v>
      </c>
      <c r="I24" s="310">
        <f>'2.A-Public'!$N$39</f>
        <v>1380697.0968159109</v>
      </c>
      <c r="J24" s="310">
        <f>'2.B-Priv'!$N$39</f>
        <v>4119491.583947733</v>
      </c>
      <c r="K24" s="310">
        <f>I24+J24</f>
        <v>5500188.6807636442</v>
      </c>
      <c r="L24" s="310">
        <f>'2.A-Public'!O$39</f>
        <v>146002.25613241873</v>
      </c>
      <c r="M24" s="310">
        <f>'2.B-Priv'!O$39</f>
        <v>418364.78742972569</v>
      </c>
      <c r="N24" s="310">
        <f>L24+M24</f>
        <v>564367.04356214439</v>
      </c>
      <c r="O24" s="310">
        <f>K24+N24</f>
        <v>6064555.7243257882</v>
      </c>
      <c r="P24" s="149">
        <f>'Annual # of Respondants'!G5</f>
        <v>45</v>
      </c>
      <c r="Q24" s="149">
        <f>'Annual # of Respondants'!H5</f>
        <v>102</v>
      </c>
      <c r="R24" s="149">
        <f>'Annual # of Respondants'!F5</f>
        <v>147</v>
      </c>
      <c r="S24" s="381">
        <f>'2.A-Public'!P26</f>
        <v>35.1</v>
      </c>
      <c r="T24" s="381">
        <f>'2.B-Priv'!P26</f>
        <v>96.2</v>
      </c>
      <c r="U24" s="379">
        <f>S24+T24</f>
        <v>131.30000000000001</v>
      </c>
    </row>
    <row r="25" spans="1:21" x14ac:dyDescent="0.2">
      <c r="A25" s="148" t="s">
        <v>132</v>
      </c>
      <c r="B25" s="149">
        <f>SUM('3.A-Public'!J$26:M$26)</f>
        <v>20170.093581471217</v>
      </c>
      <c r="C25" s="149">
        <f>SUM('3.B-Priv'!J$26:M$26)</f>
        <v>58156.551386266539</v>
      </c>
      <c r="D25" s="149">
        <f>B25+C25</f>
        <v>78326.644967737753</v>
      </c>
      <c r="E25" s="149">
        <f>SUM('3.A-Public'!J$38:M$38)</f>
        <v>6693</v>
      </c>
      <c r="F25" s="149">
        <f>SUM('3.B-Priv'!J$38:M$38)</f>
        <v>19278.600000000002</v>
      </c>
      <c r="G25" s="149">
        <f>E25+F25</f>
        <v>25971.600000000002</v>
      </c>
      <c r="H25" s="149">
        <f>D25+G25</f>
        <v>104298.24496773776</v>
      </c>
      <c r="I25" s="310">
        <f>'3.A-Public'!$N$39</f>
        <v>1604185.4527106662</v>
      </c>
      <c r="J25" s="310">
        <f>'3.B-Priv'!$N$39</f>
        <v>4613509.4069609325</v>
      </c>
      <c r="K25" s="310">
        <f>I25+J25</f>
        <v>6217694.8596715983</v>
      </c>
      <c r="L25" s="310">
        <f>'3.A-Public'!O$39</f>
        <v>166008.89407031107</v>
      </c>
      <c r="M25" s="310">
        <f>'3.B-Priv'!O$39</f>
        <v>463379.7227899835</v>
      </c>
      <c r="N25" s="310">
        <f>L25+M25</f>
        <v>629388.6168602946</v>
      </c>
      <c r="O25" s="310">
        <f>K25+N25</f>
        <v>6847083.476531893</v>
      </c>
      <c r="P25" s="149">
        <f>'Annual # of Respondants'!J5</f>
        <v>45</v>
      </c>
      <c r="Q25" s="149">
        <f>'Annual # of Respondants'!K5</f>
        <v>102</v>
      </c>
      <c r="R25" s="149">
        <f>'Annual # of Respondants'!I5</f>
        <v>147</v>
      </c>
      <c r="S25" s="381">
        <f>'3.A-Public'!P26</f>
        <v>42.9</v>
      </c>
      <c r="T25" s="381">
        <f>'3.B-Priv'!P26</f>
        <v>112.9</v>
      </c>
      <c r="U25" s="379">
        <f>S25+T25</f>
        <v>155.80000000000001</v>
      </c>
    </row>
    <row r="26" spans="1:21" x14ac:dyDescent="0.2">
      <c r="A26" s="148" t="s">
        <v>89</v>
      </c>
      <c r="B26" s="330">
        <f t="shared" ref="B26:H26" si="2">SUM(B23:B25)</f>
        <v>58752.892669972294</v>
      </c>
      <c r="C26" s="330">
        <f t="shared" si="2"/>
        <v>172737.59177115213</v>
      </c>
      <c r="D26" s="330">
        <f t="shared" si="2"/>
        <v>231490.48444112443</v>
      </c>
      <c r="E26" s="330">
        <f t="shared" si="2"/>
        <v>18124</v>
      </c>
      <c r="F26" s="330">
        <f t="shared" si="2"/>
        <v>53479.600000000006</v>
      </c>
      <c r="G26" s="330">
        <f t="shared" si="2"/>
        <v>71603.600000000006</v>
      </c>
      <c r="H26" s="330">
        <f t="shared" si="2"/>
        <v>303094.08444112446</v>
      </c>
      <c r="I26" s="331">
        <f t="shared" ref="I26:O26" si="3">SUM(I23:I25)</f>
        <v>4690199.2546187993</v>
      </c>
      <c r="J26" s="331">
        <f t="shared" si="3"/>
        <v>13747100.03340902</v>
      </c>
      <c r="K26" s="331">
        <f t="shared" si="3"/>
        <v>18437299.288027816</v>
      </c>
      <c r="L26" s="331">
        <f t="shared" si="3"/>
        <v>451784.12304020487</v>
      </c>
      <c r="M26" s="331">
        <f t="shared" si="3"/>
        <v>1283967.8596281353</v>
      </c>
      <c r="N26" s="331">
        <f t="shared" si="3"/>
        <v>1735751.9826683402</v>
      </c>
      <c r="O26" s="331">
        <f t="shared" si="3"/>
        <v>20173051.270696159</v>
      </c>
      <c r="P26" s="330"/>
      <c r="Q26" s="330"/>
      <c r="R26" s="330"/>
      <c r="S26" s="382">
        <f>SUM(S23:S25)</f>
        <v>173.5</v>
      </c>
      <c r="T26" s="382">
        <f>SUM(T23:T25)</f>
        <v>463.70000000000005</v>
      </c>
      <c r="U26" s="380">
        <f>SUM(U23:U25)</f>
        <v>637.20000000000005</v>
      </c>
    </row>
    <row r="27" spans="1:21" ht="12" thickBot="1" x14ac:dyDescent="0.25">
      <c r="A27" s="151" t="s">
        <v>133</v>
      </c>
      <c r="B27" s="430">
        <f>AVERAGE(B23:B25)</f>
        <v>19584.297556657431</v>
      </c>
      <c r="C27" s="430">
        <f>AVERAGE(C23:C25)</f>
        <v>57579.197257050713</v>
      </c>
      <c r="D27" s="430">
        <f>AVERAGE(D23:D25)</f>
        <v>77163.494813708137</v>
      </c>
      <c r="E27" s="429">
        <f t="shared" ref="E27:O27" si="4">AVERAGE(E23:E25)</f>
        <v>6041.333333333333</v>
      </c>
      <c r="F27" s="429">
        <f t="shared" si="4"/>
        <v>17826.533333333336</v>
      </c>
      <c r="G27" s="429">
        <f t="shared" si="4"/>
        <v>23867.866666666669</v>
      </c>
      <c r="H27" s="311">
        <f>AVERAGE(H23:H25)</f>
        <v>101031.36148037482</v>
      </c>
      <c r="I27" s="312">
        <f t="shared" si="4"/>
        <v>1563399.7515395998</v>
      </c>
      <c r="J27" s="312">
        <f t="shared" si="4"/>
        <v>4582366.677803007</v>
      </c>
      <c r="K27" s="312">
        <f t="shared" si="4"/>
        <v>6145766.4293426052</v>
      </c>
      <c r="L27" s="327">
        <f t="shared" si="4"/>
        <v>150594.7076800683</v>
      </c>
      <c r="M27" s="327">
        <f t="shared" si="4"/>
        <v>427989.28654271178</v>
      </c>
      <c r="N27" s="327">
        <f t="shared" si="4"/>
        <v>578583.99422278011</v>
      </c>
      <c r="O27" s="326">
        <f t="shared" si="4"/>
        <v>6724350.4235653868</v>
      </c>
      <c r="P27" s="377">
        <f t="shared" ref="P27:R27" si="5">AVERAGE(P23:P25)</f>
        <v>44.333333333333336</v>
      </c>
      <c r="Q27" s="377">
        <f t="shared" si="5"/>
        <v>99.666666666666671</v>
      </c>
      <c r="R27" s="377">
        <f t="shared" si="5"/>
        <v>144</v>
      </c>
      <c r="S27" s="370">
        <f>AVERAGE(S23:S25)</f>
        <v>57.833333333333336</v>
      </c>
      <c r="T27" s="370">
        <f>AVERAGE(T23:T25)</f>
        <v>154.56666666666669</v>
      </c>
      <c r="U27" s="313">
        <f>AVERAGE(U23:U25)</f>
        <v>212.4</v>
      </c>
    </row>
    <row r="28" spans="1:21" x14ac:dyDescent="0.2">
      <c r="A28" s="154" t="s">
        <v>134</v>
      </c>
      <c r="B28" s="391"/>
      <c r="C28" s="391"/>
      <c r="D28" s="391"/>
      <c r="E28" s="392"/>
      <c r="F28" s="392"/>
      <c r="G28" s="392"/>
      <c r="L28" s="157">
        <f>L27/S27</f>
        <v>2603.9430722778379</v>
      </c>
      <c r="M28" s="157">
        <f>M27/T27</f>
        <v>2768.9623886740028</v>
      </c>
      <c r="N28" s="157">
        <f>N27/U27</f>
        <v>2724.0301046270251</v>
      </c>
      <c r="O28" s="238"/>
      <c r="P28" s="238"/>
      <c r="Q28" s="238"/>
      <c r="R28" s="156"/>
      <c r="S28" s="156"/>
      <c r="T28" s="156"/>
      <c r="U28" s="314"/>
    </row>
    <row r="29" spans="1:21" ht="12" thickBot="1" x14ac:dyDescent="0.25">
      <c r="A29" s="158" t="s">
        <v>135</v>
      </c>
      <c r="B29" s="393">
        <f>B27/S27</f>
        <v>338.63338714681436</v>
      </c>
      <c r="C29" s="393">
        <f>C27/T27</f>
        <v>372.52014615301294</v>
      </c>
      <c r="D29" s="394">
        <f>D27/U27</f>
        <v>363.29329008337163</v>
      </c>
      <c r="E29" s="393">
        <f>E27/S27</f>
        <v>104.46109510086454</v>
      </c>
      <c r="F29" s="393">
        <f>F27/T27</f>
        <v>115.33232693551865</v>
      </c>
      <c r="G29" s="394">
        <f>G27/U27</f>
        <v>112.37225360954176</v>
      </c>
      <c r="H29" s="462">
        <f>H27/U27</f>
        <v>475.66554369291345</v>
      </c>
      <c r="L29" s="316">
        <f>(B27+E27)/O27</f>
        <v>3.8108708315060615E-3</v>
      </c>
      <c r="M29" s="316">
        <f>(C27+F27)/R27</f>
        <v>523.65090687766701</v>
      </c>
      <c r="N29" s="316">
        <f>(D27+G27)/U27</f>
        <v>475.66554369291339</v>
      </c>
      <c r="O29" s="325"/>
      <c r="P29" s="325"/>
      <c r="Q29" s="325"/>
      <c r="R29" s="160"/>
      <c r="S29" s="160"/>
      <c r="T29" s="160"/>
      <c r="U29" s="317"/>
    </row>
    <row r="32" spans="1:21" x14ac:dyDescent="0.2">
      <c r="A32" s="142" t="s">
        <v>1299</v>
      </c>
    </row>
  </sheetData>
  <mergeCells count="7">
    <mergeCell ref="I21:K21"/>
    <mergeCell ref="A21:A22"/>
    <mergeCell ref="B21:D21"/>
    <mergeCell ref="E21:G21"/>
    <mergeCell ref="A1:A2"/>
    <mergeCell ref="E1:F1"/>
    <mergeCell ref="A12:A13"/>
  </mergeCells>
  <pageMargins left="0.75" right="0.75" top="1" bottom="1" header="0.5" footer="0.5"/>
  <pageSetup scale="51"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3"/>
  <sheetViews>
    <sheetView zoomScale="115" zoomScaleNormal="115" workbookViewId="0">
      <pane xSplit="9" ySplit="2" topLeftCell="J3" activePane="bottomRight" state="frozen"/>
      <selection activeCell="E15" sqref="E15"/>
      <selection pane="topRight" activeCell="E15" sqref="E15"/>
      <selection pane="bottomLeft" activeCell="E15" sqref="E15"/>
      <selection pane="bottomRight" activeCell="E15" sqref="E15"/>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9.28515625" style="58" bestFit="1"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8.4257812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1" x14ac:dyDescent="0.2">
      <c r="B1" s="493" t="s">
        <v>851</v>
      </c>
      <c r="C1" s="493"/>
      <c r="D1" s="493"/>
      <c r="E1" s="493"/>
      <c r="F1" s="493"/>
      <c r="G1" s="493"/>
      <c r="H1" s="493"/>
      <c r="I1" s="493"/>
      <c r="J1" s="493"/>
      <c r="K1" s="493"/>
      <c r="L1" s="493"/>
      <c r="M1" s="493"/>
      <c r="N1" s="493"/>
      <c r="O1" s="493"/>
      <c r="P1" s="493"/>
      <c r="Q1" s="493"/>
      <c r="R1" s="493"/>
    </row>
    <row r="2" spans="2:21" x14ac:dyDescent="0.2">
      <c r="B2" s="495" t="s">
        <v>855</v>
      </c>
      <c r="C2" s="495"/>
      <c r="D2" s="495"/>
      <c r="E2" s="495"/>
      <c r="F2" s="495"/>
      <c r="G2" s="495"/>
      <c r="H2" s="495"/>
      <c r="I2" s="495"/>
      <c r="J2" s="495"/>
      <c r="K2" s="495"/>
      <c r="L2" s="495"/>
      <c r="M2" s="495"/>
      <c r="N2" s="495"/>
      <c r="O2" s="495"/>
      <c r="P2" s="495"/>
      <c r="Q2" s="495"/>
      <c r="R2" s="495"/>
    </row>
    <row r="3" spans="2:21" s="94" customFormat="1" ht="66.75" customHeight="1" x14ac:dyDescent="0.15">
      <c r="B3" s="96" t="s">
        <v>88</v>
      </c>
      <c r="C3" s="96" t="s">
        <v>843</v>
      </c>
      <c r="D3" s="425" t="s">
        <v>1250</v>
      </c>
      <c r="E3" s="425" t="s">
        <v>1251</v>
      </c>
      <c r="F3" s="96" t="s">
        <v>836</v>
      </c>
      <c r="G3" s="96" t="s">
        <v>839</v>
      </c>
      <c r="H3" s="96" t="s">
        <v>837</v>
      </c>
      <c r="I3" s="124" t="s">
        <v>840</v>
      </c>
      <c r="J3" s="125" t="s">
        <v>1173</v>
      </c>
      <c r="K3" s="125" t="s">
        <v>1174</v>
      </c>
      <c r="L3" s="125" t="s">
        <v>1175</v>
      </c>
      <c r="M3" s="125" t="s">
        <v>1176</v>
      </c>
      <c r="N3" s="96" t="s">
        <v>838</v>
      </c>
      <c r="O3" s="401" t="s">
        <v>1252</v>
      </c>
      <c r="P3" s="125" t="s">
        <v>844</v>
      </c>
      <c r="Q3" s="125" t="s">
        <v>852</v>
      </c>
      <c r="R3" s="95" t="s">
        <v>87</v>
      </c>
      <c r="S3" s="94" t="s">
        <v>86</v>
      </c>
    </row>
    <row r="4" spans="2:21" s="73" customFormat="1" ht="9" x14ac:dyDescent="0.15">
      <c r="B4" s="93" t="s">
        <v>85</v>
      </c>
      <c r="C4" s="490" t="s">
        <v>61</v>
      </c>
      <c r="D4" s="491"/>
      <c r="E4" s="384"/>
      <c r="F4" s="91"/>
      <c r="G4" s="91"/>
      <c r="H4" s="91"/>
      <c r="I4" s="92"/>
      <c r="J4" s="92"/>
      <c r="K4" s="92"/>
      <c r="L4" s="92"/>
      <c r="M4" s="92"/>
      <c r="N4" s="90"/>
      <c r="O4" s="90"/>
      <c r="P4" s="90"/>
      <c r="Q4" s="134"/>
      <c r="R4" s="89"/>
    </row>
    <row r="5" spans="2:21" s="73" customFormat="1" ht="9" x14ac:dyDescent="0.15">
      <c r="B5" s="84" t="s">
        <v>84</v>
      </c>
      <c r="C5" s="496" t="s">
        <v>61</v>
      </c>
      <c r="D5" s="497"/>
      <c r="E5" s="383"/>
      <c r="F5" s="81"/>
      <c r="G5" s="81"/>
      <c r="H5" s="81"/>
      <c r="I5" s="82"/>
      <c r="J5" s="82"/>
      <c r="K5" s="82"/>
      <c r="L5" s="82"/>
      <c r="M5" s="82"/>
      <c r="N5" s="74"/>
      <c r="O5" s="74"/>
      <c r="P5" s="74"/>
      <c r="Q5" s="135"/>
      <c r="R5" s="80"/>
    </row>
    <row r="6" spans="2:21" s="73" customFormat="1" ht="9" x14ac:dyDescent="0.15">
      <c r="B6" s="84" t="s">
        <v>83</v>
      </c>
      <c r="C6" s="81"/>
      <c r="D6" s="74"/>
      <c r="E6" s="74"/>
      <c r="F6" s="81"/>
      <c r="G6" s="81"/>
      <c r="H6" s="81"/>
      <c r="I6" s="82"/>
      <c r="J6" s="82"/>
      <c r="K6" s="82"/>
      <c r="L6" s="82"/>
      <c r="M6" s="82"/>
      <c r="N6" s="74"/>
      <c r="O6" s="74"/>
      <c r="P6" s="74"/>
      <c r="Q6" s="135"/>
      <c r="R6" s="80"/>
    </row>
    <row r="7" spans="2:21" s="73" customFormat="1" ht="9" x14ac:dyDescent="0.15">
      <c r="B7" s="130" t="s">
        <v>82</v>
      </c>
      <c r="C7" s="81">
        <v>40</v>
      </c>
      <c r="D7" s="74">
        <v>0</v>
      </c>
      <c r="E7" s="74"/>
      <c r="F7" s="81">
        <v>1</v>
      </c>
      <c r="G7" s="81">
        <v>0</v>
      </c>
      <c r="H7" s="81">
        <f>C7*F7</f>
        <v>40</v>
      </c>
      <c r="I7" s="83">
        <f>'Annual # of Respondants'!C3</f>
        <v>138</v>
      </c>
      <c r="J7" s="82">
        <v>0</v>
      </c>
      <c r="K7" s="82">
        <f>H7*I7</f>
        <v>5520</v>
      </c>
      <c r="L7" s="82">
        <f>K7*0.1</f>
        <v>552</v>
      </c>
      <c r="M7" s="83">
        <f>K7*0.05</f>
        <v>276</v>
      </c>
      <c r="N7" s="74">
        <f>(J7*'Labor Data'!$K$10)+(K7*'Labor Data'!$K$9)+(L7*'Labor Data'!$K$11)+(M7*'Labor Data'!$K$8)</f>
        <v>524161.26000000007</v>
      </c>
      <c r="O7" s="74">
        <f>D7*F7*I7</f>
        <v>0</v>
      </c>
      <c r="P7" s="82">
        <v>0</v>
      </c>
      <c r="Q7" s="136"/>
      <c r="R7" s="80" t="s">
        <v>98</v>
      </c>
    </row>
    <row r="8" spans="2:21" s="73" customFormat="1" ht="9" x14ac:dyDescent="0.15">
      <c r="B8" s="84" t="s">
        <v>81</v>
      </c>
      <c r="C8" s="81"/>
      <c r="D8" s="74"/>
      <c r="E8" s="74"/>
      <c r="F8" s="81"/>
      <c r="G8" s="81"/>
      <c r="H8" s="81"/>
      <c r="I8" s="82"/>
      <c r="J8" s="82"/>
      <c r="K8" s="82"/>
      <c r="L8" s="82"/>
      <c r="M8" s="82"/>
      <c r="N8" s="74"/>
      <c r="O8" s="74"/>
      <c r="P8" s="74"/>
      <c r="Q8" s="135"/>
      <c r="R8" s="80"/>
      <c r="T8" s="88"/>
      <c r="U8" s="73">
        <f>2500/86.46</f>
        <v>28.915105250983114</v>
      </c>
    </row>
    <row r="9" spans="2:21" s="73" customFormat="1" ht="9" x14ac:dyDescent="0.15">
      <c r="B9" s="130" t="s">
        <v>80</v>
      </c>
      <c r="C9" s="81">
        <v>12</v>
      </c>
      <c r="D9" s="399">
        <f>'Other Cost Basis'!D2+'Other Cost Basis'!D17+'Other Cost Basis'!D18+'Other Cost Basis'!D19</f>
        <v>1983.6594844730848</v>
      </c>
      <c r="E9" s="399">
        <f>'Other Cost Basis'!D20</f>
        <v>1000</v>
      </c>
      <c r="F9" s="81">
        <v>1</v>
      </c>
      <c r="G9" s="81">
        <v>0</v>
      </c>
      <c r="H9" s="81">
        <f>C9*F9</f>
        <v>12</v>
      </c>
      <c r="I9" s="83">
        <f>'Annual # of Respondants'!C12</f>
        <v>101</v>
      </c>
      <c r="J9" s="82">
        <v>0</v>
      </c>
      <c r="K9" s="82">
        <f>H9*I9</f>
        <v>1212</v>
      </c>
      <c r="L9" s="82">
        <f>K9*0.1</f>
        <v>121.2</v>
      </c>
      <c r="M9" s="82">
        <f>K9*0.05</f>
        <v>60.6</v>
      </c>
      <c r="N9" s="74">
        <f>(J9*'Labor Data'!$K$10)+(K9*'Labor Data'!$K$9)+(L9*'Labor Data'!$K$11)+(M9*'Labor Data'!$K$8)</f>
        <v>115087.58100000001</v>
      </c>
      <c r="O9" s="402">
        <f>(D9+E9)*F9*I9</f>
        <v>301349.60793178156</v>
      </c>
      <c r="P9" s="82">
        <f>F9*I9</f>
        <v>101</v>
      </c>
      <c r="Q9" s="400">
        <f>'Other Cost Basis'!B2+'Other Cost Basis'!B17+'Other Cost Basis'!B18+'Other Cost Basis'!B19</f>
        <v>18067</v>
      </c>
      <c r="R9" s="80" t="s">
        <v>106</v>
      </c>
      <c r="T9" s="88"/>
    </row>
    <row r="10" spans="2:21"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Respondants'!C6</f>
        <v>101</v>
      </c>
      <c r="J10" s="82">
        <f>G10*I10</f>
        <v>14694.805057619775</v>
      </c>
      <c r="K10" s="82">
        <v>0</v>
      </c>
      <c r="L10" s="82">
        <v>0</v>
      </c>
      <c r="M10" s="82">
        <v>0</v>
      </c>
      <c r="N10" s="74">
        <f>(J10*'Labor Data'!$K$10)+(K10*'Labor Data'!$K$9)+(L10*'Labor Data'!$K$11)+(M10*'Labor Data'!$K$8)</f>
        <v>732594.81134257629</v>
      </c>
      <c r="O10" s="74">
        <f>D10*F10*I10</f>
        <v>183214</v>
      </c>
      <c r="P10" s="82">
        <v>0</v>
      </c>
      <c r="Q10" s="136"/>
      <c r="R10" s="80" t="s">
        <v>1210</v>
      </c>
      <c r="T10" s="88"/>
    </row>
    <row r="11" spans="2:21" s="406" customFormat="1" ht="9" x14ac:dyDescent="0.15">
      <c r="B11" s="407" t="s">
        <v>1253</v>
      </c>
      <c r="C11" s="404">
        <f>ROUND(2000/49.85,0)</f>
        <v>40</v>
      </c>
      <c r="D11" s="405">
        <f>'Other Cost Basis'!F15</f>
        <v>17</v>
      </c>
      <c r="E11" s="405">
        <f>D11*12</f>
        <v>204</v>
      </c>
      <c r="F11" s="408">
        <v>12</v>
      </c>
      <c r="G11" s="409">
        <f>C11*F11</f>
        <v>480</v>
      </c>
      <c r="H11" s="408">
        <v>0</v>
      </c>
      <c r="I11" s="410">
        <f>I10</f>
        <v>101</v>
      </c>
      <c r="J11" s="411">
        <f>G11*I11</f>
        <v>48480</v>
      </c>
      <c r="K11" s="411">
        <v>0</v>
      </c>
      <c r="L11" s="411">
        <v>0</v>
      </c>
      <c r="M11" s="411">
        <v>0</v>
      </c>
      <c r="N11" s="399">
        <f>(J11*'Labor Data'!$K$10)+(K11*'Labor Data'!$K$9)+(L11*'Labor Data'!$K$11)+(M11*'Labor Data'!$K$8)</f>
        <v>2416921.92</v>
      </c>
      <c r="O11" s="399">
        <f>D11*F11*I11</f>
        <v>20604</v>
      </c>
      <c r="P11" s="411">
        <v>1</v>
      </c>
      <c r="Q11" s="400"/>
      <c r="R11" s="412" t="s">
        <v>1210</v>
      </c>
      <c r="T11" s="413"/>
    </row>
    <row r="12" spans="2:21" s="73" customFormat="1" ht="9" x14ac:dyDescent="0.15">
      <c r="B12" s="84" t="s">
        <v>78</v>
      </c>
      <c r="C12" s="496" t="s">
        <v>93</v>
      </c>
      <c r="D12" s="497"/>
      <c r="E12" s="383"/>
      <c r="F12" s="81"/>
      <c r="G12" s="81"/>
      <c r="H12" s="81"/>
      <c r="I12" s="82"/>
      <c r="J12" s="82"/>
      <c r="K12" s="82"/>
      <c r="L12" s="82"/>
      <c r="M12" s="82"/>
      <c r="N12" s="74"/>
      <c r="O12" s="74"/>
      <c r="P12" s="74"/>
      <c r="Q12" s="135"/>
      <c r="R12" s="80"/>
      <c r="T12" s="88"/>
    </row>
    <row r="13" spans="2:21" s="73" customFormat="1" ht="9" x14ac:dyDescent="0.15">
      <c r="B13" s="84" t="s">
        <v>77</v>
      </c>
      <c r="C13" s="496" t="s">
        <v>93</v>
      </c>
      <c r="D13" s="497"/>
      <c r="E13" s="383"/>
      <c r="F13" s="81"/>
      <c r="G13" s="81"/>
      <c r="H13" s="81"/>
      <c r="I13" s="82"/>
      <c r="J13" s="82"/>
      <c r="K13" s="82"/>
      <c r="L13" s="82"/>
      <c r="M13" s="82"/>
      <c r="N13" s="74"/>
      <c r="O13" s="74"/>
      <c r="P13" s="74"/>
      <c r="Q13" s="135"/>
      <c r="R13" s="80"/>
    </row>
    <row r="14" spans="2:21" s="73" customFormat="1" ht="9" x14ac:dyDescent="0.15">
      <c r="B14" s="84" t="s">
        <v>76</v>
      </c>
      <c r="C14" s="81"/>
      <c r="D14" s="74"/>
      <c r="E14" s="74"/>
      <c r="F14" s="81"/>
      <c r="G14" s="81"/>
      <c r="H14" s="81"/>
      <c r="I14" s="82"/>
      <c r="J14" s="82"/>
      <c r="K14" s="82"/>
      <c r="L14" s="82"/>
      <c r="M14" s="82"/>
      <c r="N14" s="74"/>
      <c r="O14" s="74"/>
      <c r="P14" s="74"/>
      <c r="Q14" s="135"/>
      <c r="R14" s="80"/>
    </row>
    <row r="15" spans="2:21" s="73" customFormat="1" ht="9" x14ac:dyDescent="0.15">
      <c r="B15" s="129" t="s">
        <v>109</v>
      </c>
      <c r="C15" s="81">
        <v>2</v>
      </c>
      <c r="D15" s="74">
        <v>0</v>
      </c>
      <c r="E15" s="74"/>
      <c r="F15" s="81">
        <v>1</v>
      </c>
      <c r="G15" s="81">
        <v>0</v>
      </c>
      <c r="H15" s="81">
        <f t="shared" ref="H15:H22" si="0">C15*F15</f>
        <v>2</v>
      </c>
      <c r="I15" s="83">
        <f>'Annual # of Respondants'!C4</f>
        <v>7</v>
      </c>
      <c r="J15" s="82">
        <v>0</v>
      </c>
      <c r="K15" s="82">
        <f t="shared" ref="K15:K22" si="1">H15*I15</f>
        <v>14</v>
      </c>
      <c r="L15" s="82">
        <f t="shared" ref="L15:L22" si="2">K15*0.1</f>
        <v>1.4000000000000001</v>
      </c>
      <c r="M15" s="82">
        <f t="shared" ref="M15:M22" si="3">K15*0.05</f>
        <v>0.70000000000000007</v>
      </c>
      <c r="N15" s="74">
        <f>(J15*'Labor Data'!$K$10)+(K15*'Labor Data'!$K$9)+(L15*'Labor Data'!$K$11)+(M15*'Labor Data'!$K$8)</f>
        <v>1329.3945000000001</v>
      </c>
      <c r="O15" s="74">
        <f t="shared" ref="O15:O22" si="4">D15*F15*I15</f>
        <v>0</v>
      </c>
      <c r="P15" s="82">
        <f t="shared" ref="P15:P22" si="5">F15*I15</f>
        <v>7</v>
      </c>
      <c r="Q15" s="136"/>
      <c r="R15" s="80" t="s">
        <v>101</v>
      </c>
    </row>
    <row r="16" spans="2:21" s="73" customFormat="1" ht="9" x14ac:dyDescent="0.15">
      <c r="B16" s="127" t="s">
        <v>1163</v>
      </c>
      <c r="C16" s="335">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24" s="73" customFormat="1" ht="9" x14ac:dyDescent="0.15">
      <c r="B17" s="127" t="s">
        <v>1164</v>
      </c>
      <c r="C17" s="81">
        <v>8</v>
      </c>
      <c r="D17" s="74">
        <v>0</v>
      </c>
      <c r="E17" s="74"/>
      <c r="F17" s="81">
        <v>1</v>
      </c>
      <c r="G17" s="81">
        <v>0</v>
      </c>
      <c r="H17" s="81">
        <f t="shared" si="0"/>
        <v>8</v>
      </c>
      <c r="I17" s="83">
        <f>'Annual # of Respondants'!C8</f>
        <v>15</v>
      </c>
      <c r="J17" s="82">
        <v>0</v>
      </c>
      <c r="K17" s="82">
        <f t="shared" si="1"/>
        <v>120</v>
      </c>
      <c r="L17" s="82">
        <f t="shared" si="2"/>
        <v>12</v>
      </c>
      <c r="M17" s="82">
        <f t="shared" si="3"/>
        <v>6</v>
      </c>
      <c r="N17" s="74">
        <f>(J17*'Labor Data'!$K$10)+(K17*'Labor Data'!$K$9)+(L17*'Labor Data'!$K$11)+(M17*'Labor Data'!$K$8)</f>
        <v>11394.81</v>
      </c>
      <c r="O17" s="74">
        <f t="shared" si="4"/>
        <v>0</v>
      </c>
      <c r="P17" s="82">
        <f t="shared" si="5"/>
        <v>15</v>
      </c>
      <c r="Q17" s="136"/>
      <c r="R17" s="80" t="s">
        <v>103</v>
      </c>
      <c r="S17" s="87"/>
      <c r="X17" s="375"/>
    </row>
    <row r="18" spans="2:24" s="73" customFormat="1" ht="9" x14ac:dyDescent="0.15">
      <c r="B18" s="127" t="s">
        <v>1165</v>
      </c>
      <c r="C18" s="119">
        <v>12</v>
      </c>
      <c r="D18" s="399">
        <f>'Other Cost Basis'!D4</f>
        <v>2455.2476209413121</v>
      </c>
      <c r="E18" s="74"/>
      <c r="F18" s="81">
        <v>1</v>
      </c>
      <c r="G18" s="81">
        <v>0</v>
      </c>
      <c r="H18" s="119">
        <f t="shared" si="0"/>
        <v>12</v>
      </c>
      <c r="I18" s="83">
        <f>'Annual # of Respondants'!C9</f>
        <v>15</v>
      </c>
      <c r="J18" s="82">
        <v>0</v>
      </c>
      <c r="K18" s="82">
        <f t="shared" si="1"/>
        <v>180</v>
      </c>
      <c r="L18" s="82">
        <f t="shared" si="2"/>
        <v>18</v>
      </c>
      <c r="M18" s="82">
        <f t="shared" si="3"/>
        <v>9</v>
      </c>
      <c r="N18" s="74">
        <f>(J18*'Labor Data'!$K$10)+(K18*'Labor Data'!$K$9)+(L18*'Labor Data'!$K$11)+(M18*'Labor Data'!$K$8)</f>
        <v>17092.215000000004</v>
      </c>
      <c r="O18" s="426">
        <f>D18*F18*I18</f>
        <v>36828.714314119679</v>
      </c>
      <c r="P18" s="82">
        <f>F18*I18</f>
        <v>15</v>
      </c>
      <c r="Q18" s="400">
        <f>'Other Cost Basis'!B2</f>
        <v>10067</v>
      </c>
      <c r="R18" s="80" t="s">
        <v>1162</v>
      </c>
      <c r="S18" s="87"/>
    </row>
    <row r="19" spans="2:24"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24"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24" s="73" customFormat="1" ht="9" x14ac:dyDescent="0.15">
      <c r="B21" s="127" t="s">
        <v>1168</v>
      </c>
      <c r="C21" s="81">
        <v>80</v>
      </c>
      <c r="D21" s="74">
        <v>0</v>
      </c>
      <c r="E21" s="74"/>
      <c r="F21" s="81">
        <v>1</v>
      </c>
      <c r="G21" s="81">
        <v>0</v>
      </c>
      <c r="H21" s="81">
        <f t="shared" si="0"/>
        <v>80</v>
      </c>
      <c r="I21" s="83">
        <f>I$10</f>
        <v>101</v>
      </c>
      <c r="J21" s="82">
        <v>0</v>
      </c>
      <c r="K21" s="82">
        <f t="shared" si="1"/>
        <v>8080</v>
      </c>
      <c r="L21" s="82">
        <f t="shared" si="2"/>
        <v>808</v>
      </c>
      <c r="M21" s="82">
        <f t="shared" si="3"/>
        <v>404</v>
      </c>
      <c r="N21" s="74">
        <f>(J21*'Labor Data'!$K$10)+(K21*'Labor Data'!$K$9)+(L21*'Labor Data'!$K$11)+(M21*'Labor Data'!$K$8)</f>
        <v>767250.54</v>
      </c>
      <c r="O21" s="74">
        <f t="shared" si="4"/>
        <v>0</v>
      </c>
      <c r="P21" s="82">
        <f t="shared" si="5"/>
        <v>101</v>
      </c>
      <c r="Q21" s="136"/>
      <c r="R21" s="80" t="s">
        <v>99</v>
      </c>
      <c r="S21" s="87"/>
    </row>
    <row r="22" spans="2:24" s="73" customFormat="1" ht="9" x14ac:dyDescent="0.15">
      <c r="B22" s="127" t="s">
        <v>1169</v>
      </c>
      <c r="C22" s="335">
        <v>20</v>
      </c>
      <c r="D22" s="74">
        <v>0</v>
      </c>
      <c r="E22" s="74"/>
      <c r="F22" s="81">
        <v>1</v>
      </c>
      <c r="G22" s="81">
        <v>0</v>
      </c>
      <c r="H22" s="81">
        <f t="shared" si="0"/>
        <v>20</v>
      </c>
      <c r="I22" s="83">
        <f>I21*0.1</f>
        <v>10.100000000000001</v>
      </c>
      <c r="J22" s="82">
        <v>0</v>
      </c>
      <c r="K22" s="82">
        <f t="shared" si="1"/>
        <v>202.00000000000003</v>
      </c>
      <c r="L22" s="82">
        <f t="shared" si="2"/>
        <v>20.200000000000003</v>
      </c>
      <c r="M22" s="82">
        <f t="shared" si="3"/>
        <v>10.100000000000001</v>
      </c>
      <c r="N22" s="74">
        <f>(J22*'Labor Data'!$K$10)+(K22*'Labor Data'!$K$9)+(L22*'Labor Data'!$K$11)+(M22*'Labor Data'!$K$8)</f>
        <v>19181.263500000008</v>
      </c>
      <c r="O22" s="74">
        <f t="shared" si="4"/>
        <v>0</v>
      </c>
      <c r="P22" s="82">
        <f t="shared" si="5"/>
        <v>10.100000000000001</v>
      </c>
      <c r="Q22" s="136"/>
      <c r="R22" s="80" t="s">
        <v>107</v>
      </c>
      <c r="S22" s="87"/>
    </row>
    <row r="23" spans="2:24" s="73" customFormat="1" ht="9" x14ac:dyDescent="0.15">
      <c r="B23" s="127" t="s">
        <v>1170</v>
      </c>
      <c r="C23" s="496" t="s">
        <v>93</v>
      </c>
      <c r="D23" s="497"/>
      <c r="E23" s="383"/>
      <c r="F23" s="81"/>
      <c r="G23" s="81"/>
      <c r="H23" s="81"/>
      <c r="I23" s="83"/>
      <c r="J23" s="82"/>
      <c r="K23" s="82"/>
      <c r="L23" s="82"/>
      <c r="M23" s="82"/>
      <c r="N23" s="74"/>
      <c r="O23" s="74"/>
      <c r="P23" s="82"/>
      <c r="Q23" s="136"/>
      <c r="R23" s="80"/>
      <c r="S23" s="87"/>
    </row>
    <row r="24" spans="2:24" s="73" customFormat="1" ht="9" x14ac:dyDescent="0.15">
      <c r="B24" s="127" t="s">
        <v>1171</v>
      </c>
      <c r="C24" s="496" t="s">
        <v>93</v>
      </c>
      <c r="D24" s="497"/>
      <c r="E24" s="383"/>
      <c r="F24" s="81"/>
      <c r="G24" s="81"/>
      <c r="H24" s="81"/>
      <c r="I24" s="83"/>
      <c r="J24" s="82"/>
      <c r="K24" s="82"/>
      <c r="L24" s="82"/>
      <c r="M24" s="82"/>
      <c r="N24" s="74"/>
      <c r="O24" s="74"/>
      <c r="P24" s="82"/>
      <c r="Q24" s="136"/>
      <c r="R24" s="80"/>
      <c r="S24" s="87"/>
    </row>
    <row r="25" spans="2:24" s="73" customFormat="1" ht="9" x14ac:dyDescent="0.15">
      <c r="B25" s="127" t="s">
        <v>1172</v>
      </c>
      <c r="C25" s="408">
        <v>27</v>
      </c>
      <c r="D25" s="74">
        <v>0</v>
      </c>
      <c r="E25" s="74"/>
      <c r="F25" s="81">
        <v>1</v>
      </c>
      <c r="G25" s="81">
        <v>0</v>
      </c>
      <c r="H25" s="81">
        <f>C25*F25</f>
        <v>27</v>
      </c>
      <c r="I25" s="83">
        <f>'Annual # of Respondants'!C6</f>
        <v>101</v>
      </c>
      <c r="J25" s="82">
        <v>0</v>
      </c>
      <c r="K25" s="82">
        <f>H25*I25</f>
        <v>2727</v>
      </c>
      <c r="L25" s="82">
        <f>K25*0.1</f>
        <v>272.7</v>
      </c>
      <c r="M25" s="82">
        <f>K25*0.05</f>
        <v>136.35</v>
      </c>
      <c r="N25" s="74">
        <f>(J25*'Labor Data'!$K$10)+(K25*'Labor Data'!$K$9)+(L25*'Labor Data'!$K$11)+(M25*'Labor Data'!$K$8)</f>
        <v>258947.05725000004</v>
      </c>
      <c r="O25" s="74">
        <f>D25*F25*I25</f>
        <v>0</v>
      </c>
      <c r="P25" s="82">
        <f>F25*I25</f>
        <v>101</v>
      </c>
      <c r="Q25" s="136"/>
      <c r="R25" s="80" t="s">
        <v>1160</v>
      </c>
      <c r="S25" s="87"/>
    </row>
    <row r="26" spans="2:24" s="73" customFormat="1" ht="9" x14ac:dyDescent="0.15">
      <c r="B26" s="86" t="s">
        <v>74</v>
      </c>
      <c r="C26" s="81"/>
      <c r="D26" s="74"/>
      <c r="E26" s="74"/>
      <c r="F26" s="81"/>
      <c r="G26" s="81"/>
      <c r="H26" s="81"/>
      <c r="I26" s="83"/>
      <c r="J26" s="82">
        <f t="shared" ref="J26:N26" si="6">SUM(J7:J25)</f>
        <v>63174.805057619771</v>
      </c>
      <c r="K26" s="82">
        <f t="shared" si="6"/>
        <v>18055</v>
      </c>
      <c r="L26" s="82">
        <f t="shared" si="6"/>
        <v>1805.5</v>
      </c>
      <c r="M26" s="82">
        <f t="shared" si="6"/>
        <v>902.75</v>
      </c>
      <c r="N26" s="74">
        <f t="shared" si="6"/>
        <v>4863960.8525925763</v>
      </c>
      <c r="O26" s="74">
        <f>SUM(O7:O25)</f>
        <v>541996.32224590122</v>
      </c>
      <c r="P26" s="82">
        <f>SUM(P15:P25)+P9</f>
        <v>350.1</v>
      </c>
      <c r="Q26" s="74">
        <f>SUM(Q7:Q25)</f>
        <v>28134</v>
      </c>
      <c r="R26" s="80"/>
      <c r="S26" s="85" t="e">
        <f>SUM(O7,O9:O10,#REF!,#REF!,#REF!,#REF!,#REF!,#REF!,#REF!)</f>
        <v>#REF!</v>
      </c>
    </row>
    <row r="27" spans="2:24" s="73" customFormat="1" ht="9" x14ac:dyDescent="0.15">
      <c r="B27" s="84" t="s">
        <v>73</v>
      </c>
      <c r="C27" s="81"/>
      <c r="D27" s="74"/>
      <c r="E27" s="74"/>
      <c r="F27" s="81"/>
      <c r="G27" s="81"/>
      <c r="H27" s="81"/>
      <c r="I27" s="82"/>
      <c r="J27" s="82"/>
      <c r="K27" s="82"/>
      <c r="L27" s="82"/>
      <c r="M27" s="82"/>
      <c r="N27" s="74"/>
      <c r="O27" s="74"/>
      <c r="P27" s="74"/>
      <c r="Q27" s="135"/>
      <c r="R27" s="80"/>
    </row>
    <row r="28" spans="2:24" s="73" customFormat="1" ht="9" x14ac:dyDescent="0.15">
      <c r="B28" s="84" t="s">
        <v>72</v>
      </c>
      <c r="C28" s="496" t="s">
        <v>71</v>
      </c>
      <c r="D28" s="497"/>
      <c r="E28" s="383"/>
      <c r="F28" s="81"/>
      <c r="G28" s="81"/>
      <c r="H28" s="81"/>
      <c r="I28" s="82"/>
      <c r="J28" s="82"/>
      <c r="K28" s="82"/>
      <c r="L28" s="82"/>
      <c r="M28" s="82"/>
      <c r="N28" s="74"/>
      <c r="O28" s="74"/>
      <c r="P28" s="74"/>
      <c r="Q28" s="135"/>
      <c r="R28" s="80"/>
    </row>
    <row r="29" spans="2:24" s="73" customFormat="1" ht="9" x14ac:dyDescent="0.15">
      <c r="B29" s="84" t="s">
        <v>70</v>
      </c>
      <c r="C29" s="496" t="s">
        <v>61</v>
      </c>
      <c r="D29" s="497"/>
      <c r="E29" s="383"/>
      <c r="F29" s="81"/>
      <c r="G29" s="81"/>
      <c r="H29" s="81"/>
      <c r="I29" s="82"/>
      <c r="J29" s="82"/>
      <c r="K29" s="82"/>
      <c r="L29" s="82"/>
      <c r="M29" s="82"/>
      <c r="N29" s="74"/>
      <c r="O29" s="74"/>
      <c r="P29" s="74"/>
      <c r="Q29" s="135"/>
      <c r="R29" s="80"/>
    </row>
    <row r="30" spans="2:24" s="73" customFormat="1" ht="9" x14ac:dyDescent="0.15">
      <c r="B30" s="84" t="s">
        <v>69</v>
      </c>
      <c r="C30" s="496" t="s">
        <v>61</v>
      </c>
      <c r="D30" s="497"/>
      <c r="E30" s="383"/>
      <c r="F30" s="81"/>
      <c r="G30" s="81"/>
      <c r="H30" s="81"/>
      <c r="I30" s="82"/>
      <c r="J30" s="82"/>
      <c r="K30" s="82"/>
      <c r="L30" s="82"/>
      <c r="M30" s="82"/>
      <c r="N30" s="74"/>
      <c r="O30" s="74"/>
      <c r="P30" s="74"/>
      <c r="Q30" s="135"/>
      <c r="R30" s="80"/>
    </row>
    <row r="31" spans="2:24" s="73" customFormat="1" ht="9" x14ac:dyDescent="0.15">
      <c r="B31" s="84" t="s">
        <v>68</v>
      </c>
      <c r="C31" s="496" t="s">
        <v>61</v>
      </c>
      <c r="D31" s="497"/>
      <c r="E31" s="383"/>
      <c r="F31" s="81"/>
      <c r="G31" s="81"/>
      <c r="H31" s="81"/>
      <c r="I31" s="82"/>
      <c r="J31" s="82"/>
      <c r="K31" s="82"/>
      <c r="L31" s="82"/>
      <c r="M31" s="82"/>
      <c r="N31" s="74"/>
      <c r="O31" s="74"/>
      <c r="P31" s="74"/>
      <c r="Q31" s="135"/>
      <c r="R31" s="80"/>
    </row>
    <row r="32" spans="2:24" s="73" customFormat="1" ht="9" x14ac:dyDescent="0.15">
      <c r="B32" s="84" t="s">
        <v>66</v>
      </c>
      <c r="C32" s="81"/>
      <c r="D32" s="74"/>
      <c r="E32" s="74"/>
      <c r="F32" s="81"/>
      <c r="G32" s="81"/>
      <c r="H32" s="81"/>
      <c r="I32" s="82"/>
      <c r="J32" s="82"/>
      <c r="K32" s="82"/>
      <c r="L32" s="82"/>
      <c r="M32" s="82"/>
      <c r="N32" s="74"/>
      <c r="O32" s="74"/>
      <c r="P32" s="74"/>
      <c r="Q32" s="135"/>
      <c r="R32" s="80"/>
    </row>
    <row r="33" spans="1:22" s="73" customFormat="1" ht="9.75" customHeight="1" x14ac:dyDescent="0.15">
      <c r="B33" s="418" t="s">
        <v>110</v>
      </c>
      <c r="C33" s="419"/>
      <c r="D33" s="420"/>
      <c r="E33" s="420"/>
      <c r="F33" s="419"/>
      <c r="G33" s="419"/>
      <c r="H33" s="419"/>
      <c r="I33" s="421"/>
      <c r="J33" s="422"/>
      <c r="K33" s="422"/>
      <c r="L33" s="422"/>
      <c r="M33" s="422"/>
      <c r="N33" s="420"/>
      <c r="O33" s="420"/>
      <c r="P33" s="422"/>
      <c r="Q33" s="423"/>
      <c r="R33" s="424"/>
    </row>
    <row r="34" spans="1:22" s="73" customFormat="1" ht="9.75" customHeight="1" x14ac:dyDescent="0.15">
      <c r="B34" s="415" t="s">
        <v>1267</v>
      </c>
      <c r="C34" s="417">
        <v>5</v>
      </c>
      <c r="D34" s="74">
        <v>0</v>
      </c>
      <c r="E34" s="74"/>
      <c r="F34" s="408">
        <v>12</v>
      </c>
      <c r="G34" s="81">
        <v>0</v>
      </c>
      <c r="H34" s="81">
        <f>C34*F34</f>
        <v>60</v>
      </c>
      <c r="I34" s="83">
        <v>101</v>
      </c>
      <c r="J34" s="82">
        <v>0</v>
      </c>
      <c r="K34" s="82">
        <f>H34*I34</f>
        <v>6060</v>
      </c>
      <c r="L34" s="82">
        <f>K34*0.1</f>
        <v>606</v>
      </c>
      <c r="M34" s="82">
        <f>K34*0.05</f>
        <v>303</v>
      </c>
      <c r="N34" s="74">
        <f>(J34*'Labor Data'!$K$10)+(K34*'Labor Data'!$K$9)+(L34*'Labor Data'!$K$11)+(M34*'Labor Data'!$K$8)</f>
        <v>575437.90500000003</v>
      </c>
      <c r="O34" s="74">
        <f>D34*F34*I34</f>
        <v>0</v>
      </c>
      <c r="P34" s="82">
        <v>0</v>
      </c>
      <c r="Q34" s="136"/>
      <c r="R34" s="412" t="s">
        <v>1159</v>
      </c>
      <c r="U34" s="73">
        <f>500/86.46</f>
        <v>5.7830210501966235</v>
      </c>
    </row>
    <row r="35" spans="1:22" s="73" customFormat="1" ht="9" x14ac:dyDescent="0.15">
      <c r="B35" s="416" t="s">
        <v>1261</v>
      </c>
      <c r="C35" s="408">
        <v>11</v>
      </c>
      <c r="D35" s="74">
        <v>0</v>
      </c>
      <c r="E35" s="74"/>
      <c r="F35" s="408">
        <v>12</v>
      </c>
      <c r="G35" s="81">
        <v>0</v>
      </c>
      <c r="H35" s="81">
        <f>C35*F35</f>
        <v>132</v>
      </c>
      <c r="I35" s="410">
        <v>101</v>
      </c>
      <c r="J35" s="82">
        <v>0</v>
      </c>
      <c r="K35" s="82">
        <f>H35*I35</f>
        <v>13332</v>
      </c>
      <c r="L35" s="82">
        <f>K35*0.1</f>
        <v>1333.2</v>
      </c>
      <c r="M35" s="82">
        <f>K35*0.05</f>
        <v>666.6</v>
      </c>
      <c r="N35" s="74">
        <f>(J35*'Labor Data'!$K$10)+(K35*'Labor Data'!$K$9)+(L35*'Labor Data'!$K$11)+(M35*'Labor Data'!$K$8)</f>
        <v>1265963.3910000003</v>
      </c>
      <c r="O35" s="74">
        <f>D35*F35*I35</f>
        <v>0</v>
      </c>
      <c r="P35" s="82">
        <v>0</v>
      </c>
      <c r="Q35" s="136"/>
      <c r="R35" s="80" t="s">
        <v>1159</v>
      </c>
    </row>
    <row r="36" spans="1:22" s="406" customFormat="1" ht="9" x14ac:dyDescent="0.15">
      <c r="B36" s="416" t="s">
        <v>1260</v>
      </c>
      <c r="C36" s="417">
        <v>4</v>
      </c>
      <c r="D36" s="399">
        <v>0</v>
      </c>
      <c r="E36" s="405"/>
      <c r="F36" s="408">
        <v>1</v>
      </c>
      <c r="G36" s="408">
        <v>0</v>
      </c>
      <c r="H36" s="408">
        <f>C36*F36</f>
        <v>4</v>
      </c>
      <c r="I36" s="410">
        <f>'Annual # of Respondants'!C5-'Annual # of Respondants'!C6</f>
        <v>37</v>
      </c>
      <c r="J36" s="411">
        <v>0</v>
      </c>
      <c r="K36" s="411">
        <f>H36*I36</f>
        <v>148</v>
      </c>
      <c r="L36" s="411">
        <f>K36*0.1</f>
        <v>14.8</v>
      </c>
      <c r="M36" s="411">
        <f>K36*0.05</f>
        <v>7.4</v>
      </c>
      <c r="N36" s="399">
        <f>(J36*'Labor Data'!$K$10)+(K36*'Labor Data'!$K$9)+(L36*'Labor Data'!$K$11)+(M36*'Labor Data'!$K$8)</f>
        <v>14053.599</v>
      </c>
      <c r="O36" s="399">
        <f>D36*F36*I36</f>
        <v>0</v>
      </c>
      <c r="P36" s="411">
        <v>1</v>
      </c>
      <c r="Q36" s="400"/>
      <c r="R36" s="412" t="s">
        <v>1262</v>
      </c>
    </row>
    <row r="37" spans="1:22" s="73" customFormat="1" ht="9" x14ac:dyDescent="0.15">
      <c r="B37" s="84" t="s">
        <v>64</v>
      </c>
      <c r="C37" s="496" t="s">
        <v>61</v>
      </c>
      <c r="D37" s="497"/>
      <c r="E37" s="383"/>
      <c r="F37" s="81"/>
      <c r="G37" s="81"/>
      <c r="H37" s="81"/>
      <c r="I37" s="83"/>
      <c r="J37" s="82"/>
      <c r="K37" s="82"/>
      <c r="L37" s="82"/>
      <c r="M37" s="82"/>
      <c r="N37" s="74"/>
      <c r="O37" s="74"/>
      <c r="P37" s="82"/>
      <c r="Q37" s="136"/>
      <c r="R37" s="80"/>
    </row>
    <row r="38" spans="1:22" s="73" customFormat="1" ht="9" x14ac:dyDescent="0.15">
      <c r="B38" s="128" t="s">
        <v>62</v>
      </c>
      <c r="C38" s="496" t="s">
        <v>61</v>
      </c>
      <c r="D38" s="497"/>
      <c r="E38" s="383"/>
      <c r="F38" s="81"/>
      <c r="G38" s="81"/>
      <c r="H38" s="81"/>
      <c r="I38" s="83"/>
      <c r="J38" s="82"/>
      <c r="K38" s="82"/>
      <c r="L38" s="82"/>
      <c r="M38" s="82"/>
      <c r="N38" s="74"/>
      <c r="O38" s="74"/>
      <c r="P38" s="74"/>
      <c r="Q38" s="135"/>
      <c r="R38" s="80"/>
    </row>
    <row r="39" spans="1:22" s="73" customFormat="1" ht="9" x14ac:dyDescent="0.15">
      <c r="B39" s="79" t="s">
        <v>60</v>
      </c>
      <c r="C39" s="78"/>
      <c r="D39" s="77"/>
      <c r="E39" s="77"/>
      <c r="F39" s="78"/>
      <c r="G39" s="78"/>
      <c r="H39" s="78"/>
      <c r="I39" s="76"/>
      <c r="J39" s="76">
        <f>SUM(J28:J38)</f>
        <v>0</v>
      </c>
      <c r="K39" s="76">
        <f t="shared" ref="K39:Q39" si="7">SUM(K28:K38)</f>
        <v>19540</v>
      </c>
      <c r="L39" s="76">
        <f t="shared" si="7"/>
        <v>1954</v>
      </c>
      <c r="M39" s="76">
        <f t="shared" si="7"/>
        <v>977</v>
      </c>
      <c r="N39" s="77">
        <f t="shared" si="7"/>
        <v>1855454.8950000003</v>
      </c>
      <c r="O39" s="77">
        <f t="shared" si="7"/>
        <v>0</v>
      </c>
      <c r="P39" s="76">
        <f t="shared" si="7"/>
        <v>1</v>
      </c>
      <c r="Q39" s="77">
        <f t="shared" si="7"/>
        <v>0</v>
      </c>
      <c r="R39" s="75"/>
      <c r="S39" s="74">
        <f>SUM(S28:S38)</f>
        <v>0</v>
      </c>
    </row>
    <row r="40" spans="1:22" s="65" customFormat="1" x14ac:dyDescent="0.2">
      <c r="B40" s="72" t="s">
        <v>59</v>
      </c>
      <c r="C40" s="70"/>
      <c r="D40" s="71"/>
      <c r="E40" s="71"/>
      <c r="F40" s="70"/>
      <c r="G40" s="70"/>
      <c r="H40" s="70"/>
      <c r="I40" s="69"/>
      <c r="J40" s="67">
        <f t="shared" ref="J40:P40" si="8">J26+J39</f>
        <v>63174.805057619771</v>
      </c>
      <c r="K40" s="67">
        <f t="shared" si="8"/>
        <v>37595</v>
      </c>
      <c r="L40" s="67">
        <f t="shared" si="8"/>
        <v>3759.5</v>
      </c>
      <c r="M40" s="67">
        <f t="shared" si="8"/>
        <v>1879.75</v>
      </c>
      <c r="N40" s="68">
        <f t="shared" si="8"/>
        <v>6719415.7475925768</v>
      </c>
      <c r="O40" s="68">
        <f>O26+O39</f>
        <v>541996.32224590122</v>
      </c>
      <c r="P40" s="67">
        <f t="shared" si="8"/>
        <v>351.1</v>
      </c>
      <c r="Q40" s="68">
        <f>Q26+Q39</f>
        <v>28134</v>
      </c>
      <c r="R40" s="66"/>
    </row>
    <row r="41" spans="1:22" ht="6" customHeight="1" x14ac:dyDescent="0.2"/>
    <row r="42" spans="1:22" s="62" customFormat="1" ht="12.75" customHeight="1" x14ac:dyDescent="0.15">
      <c r="A42" s="122" t="s">
        <v>96</v>
      </c>
      <c r="B42" s="126"/>
      <c r="C42" s="126"/>
      <c r="D42" s="126"/>
      <c r="E42" s="126"/>
      <c r="F42" s="126"/>
      <c r="G42" s="126"/>
      <c r="H42" s="126"/>
      <c r="I42" s="126"/>
      <c r="J42" s="126"/>
      <c r="K42" s="126"/>
      <c r="L42" s="126"/>
      <c r="M42" s="126"/>
      <c r="N42" s="126"/>
      <c r="O42" s="126"/>
      <c r="P42" s="126"/>
      <c r="Q42" s="126"/>
      <c r="R42" s="63"/>
    </row>
    <row r="43" spans="1:22" s="359" customFormat="1" ht="9" customHeight="1" x14ac:dyDescent="0.15">
      <c r="A43" s="358" t="s">
        <v>75</v>
      </c>
      <c r="B43" s="414" t="s">
        <v>1257</v>
      </c>
    </row>
    <row r="44" spans="1:22" s="359" customFormat="1" ht="19.5" customHeight="1" x14ac:dyDescent="0.15">
      <c r="A44" s="358" t="s">
        <v>97</v>
      </c>
      <c r="B44" s="494" t="s">
        <v>1232</v>
      </c>
      <c r="C44" s="494"/>
      <c r="D44" s="494"/>
      <c r="E44" s="494"/>
      <c r="F44" s="494"/>
      <c r="G44" s="494"/>
      <c r="H44" s="494"/>
      <c r="I44" s="494"/>
      <c r="J44" s="494"/>
      <c r="K44" s="494"/>
      <c r="L44" s="494"/>
      <c r="M44" s="494"/>
      <c r="N44" s="494"/>
      <c r="O44" s="494"/>
      <c r="P44" s="494"/>
      <c r="Q44" s="494"/>
      <c r="R44" s="494"/>
    </row>
    <row r="45" spans="1:22" s="359" customFormat="1" ht="9" customHeight="1" x14ac:dyDescent="0.15">
      <c r="A45" s="358" t="s">
        <v>65</v>
      </c>
      <c r="B45" s="360" t="s">
        <v>842</v>
      </c>
    </row>
    <row r="46" spans="1:22" s="359" customFormat="1" ht="9" x14ac:dyDescent="0.15">
      <c r="A46" s="358" t="s">
        <v>98</v>
      </c>
      <c r="B46" s="360" t="s">
        <v>1227</v>
      </c>
      <c r="C46" s="357"/>
      <c r="D46" s="357"/>
      <c r="E46" s="386"/>
      <c r="F46" s="357"/>
      <c r="G46" s="357"/>
      <c r="H46" s="357"/>
      <c r="I46" s="357"/>
      <c r="J46" s="357"/>
      <c r="K46" s="357"/>
      <c r="L46" s="357"/>
      <c r="M46" s="357"/>
      <c r="N46" s="357"/>
      <c r="O46" s="357"/>
      <c r="P46" s="357"/>
      <c r="Q46" s="357"/>
      <c r="R46" s="357"/>
      <c r="U46" s="357"/>
      <c r="V46" s="357"/>
    </row>
    <row r="47" spans="1:22" s="359" customFormat="1" ht="18" customHeight="1" x14ac:dyDescent="0.15">
      <c r="A47" s="358" t="s">
        <v>67</v>
      </c>
      <c r="B47" s="492" t="s">
        <v>1265</v>
      </c>
      <c r="C47" s="492"/>
      <c r="D47" s="492"/>
      <c r="E47" s="492"/>
      <c r="F47" s="492"/>
      <c r="G47" s="492"/>
      <c r="H47" s="492"/>
      <c r="I47" s="492"/>
      <c r="J47" s="492"/>
      <c r="K47" s="492"/>
      <c r="L47" s="492"/>
      <c r="M47" s="492"/>
      <c r="N47" s="492"/>
      <c r="O47" s="492"/>
      <c r="P47" s="492"/>
      <c r="Q47" s="492"/>
      <c r="R47" s="492"/>
      <c r="U47" s="357"/>
      <c r="V47" s="357"/>
    </row>
    <row r="48" spans="1:22" s="359" customFormat="1" ht="9" x14ac:dyDescent="0.15">
      <c r="A48" s="358" t="s">
        <v>99</v>
      </c>
      <c r="B48" s="359" t="s">
        <v>1202</v>
      </c>
    </row>
    <row r="49" spans="1:22" s="359" customFormat="1" ht="56.25" customHeight="1" x14ac:dyDescent="0.15">
      <c r="A49" s="358" t="s">
        <v>100</v>
      </c>
      <c r="B49" s="492" t="s">
        <v>1276</v>
      </c>
      <c r="C49" s="492"/>
      <c r="D49" s="492"/>
      <c r="E49" s="492"/>
      <c r="F49" s="492"/>
      <c r="G49" s="492"/>
      <c r="H49" s="492"/>
      <c r="I49" s="492"/>
      <c r="J49" s="492"/>
      <c r="K49" s="492"/>
      <c r="L49" s="492"/>
      <c r="M49" s="492"/>
      <c r="N49" s="492"/>
      <c r="O49" s="492"/>
      <c r="P49" s="492"/>
      <c r="Q49" s="492"/>
      <c r="R49" s="492"/>
      <c r="U49" s="357"/>
      <c r="V49" s="357"/>
    </row>
    <row r="50" spans="1:22" s="359" customFormat="1" ht="18" customHeight="1" x14ac:dyDescent="0.15">
      <c r="A50" s="358" t="s">
        <v>101</v>
      </c>
      <c r="B50" s="494" t="s">
        <v>1221</v>
      </c>
      <c r="C50" s="494"/>
      <c r="D50" s="494"/>
      <c r="E50" s="494"/>
      <c r="F50" s="494"/>
      <c r="G50" s="494"/>
      <c r="H50" s="494"/>
      <c r="I50" s="494"/>
      <c r="J50" s="494"/>
      <c r="K50" s="494"/>
      <c r="L50" s="494"/>
      <c r="M50" s="494"/>
      <c r="N50" s="494"/>
      <c r="O50" s="494"/>
      <c r="P50" s="494"/>
      <c r="Q50" s="494"/>
      <c r="R50" s="494"/>
      <c r="U50" s="361"/>
      <c r="V50" s="361"/>
    </row>
    <row r="51" spans="1:22" s="359" customFormat="1" ht="9" customHeight="1" x14ac:dyDescent="0.15">
      <c r="A51" s="358" t="s">
        <v>102</v>
      </c>
      <c r="B51" s="362" t="s">
        <v>1224</v>
      </c>
      <c r="C51" s="361"/>
      <c r="D51" s="361"/>
      <c r="E51" s="361"/>
      <c r="F51" s="361"/>
      <c r="G51" s="361"/>
      <c r="H51" s="361"/>
      <c r="I51" s="361"/>
      <c r="J51" s="361"/>
      <c r="K51" s="361"/>
      <c r="L51" s="361"/>
      <c r="M51" s="361"/>
      <c r="P51" s="363"/>
      <c r="Q51" s="363"/>
      <c r="R51" s="364"/>
      <c r="U51" s="361"/>
      <c r="V51" s="361"/>
    </row>
    <row r="52" spans="1:22" s="359" customFormat="1" ht="9" customHeight="1" x14ac:dyDescent="0.15">
      <c r="A52" s="358" t="s">
        <v>103</v>
      </c>
      <c r="B52" s="359" t="s">
        <v>1191</v>
      </c>
      <c r="C52" s="364"/>
      <c r="D52" s="364"/>
      <c r="E52" s="364"/>
      <c r="F52" s="364"/>
      <c r="G52" s="364"/>
      <c r="H52" s="364"/>
      <c r="I52" s="365"/>
      <c r="J52" s="364"/>
      <c r="K52" s="364"/>
      <c r="L52" s="364"/>
      <c r="M52" s="364"/>
      <c r="P52" s="363"/>
      <c r="Q52" s="363"/>
      <c r="R52" s="364"/>
      <c r="U52" s="361"/>
      <c r="V52" s="361"/>
    </row>
    <row r="53" spans="1:22" s="359" customFormat="1" ht="9" x14ac:dyDescent="0.15">
      <c r="A53" s="358" t="s">
        <v>63</v>
      </c>
      <c r="B53" s="403" t="s">
        <v>1266</v>
      </c>
      <c r="C53" s="364"/>
      <c r="D53" s="364"/>
      <c r="E53" s="364"/>
      <c r="F53" s="364"/>
      <c r="G53" s="364"/>
      <c r="H53" s="364"/>
      <c r="I53" s="365"/>
      <c r="J53" s="364"/>
      <c r="K53" s="364"/>
      <c r="L53" s="364"/>
      <c r="M53" s="364"/>
      <c r="P53" s="363"/>
      <c r="Q53" s="363"/>
      <c r="R53" s="364"/>
      <c r="U53" s="365"/>
    </row>
    <row r="54" spans="1:22" s="359" customFormat="1" ht="9" customHeight="1" x14ac:dyDescent="0.15">
      <c r="A54" s="358" t="s">
        <v>104</v>
      </c>
      <c r="B54" s="360" t="s">
        <v>108</v>
      </c>
      <c r="C54" s="364"/>
      <c r="D54" s="364"/>
      <c r="E54" s="364"/>
      <c r="F54" s="364"/>
      <c r="G54" s="364"/>
      <c r="H54" s="364"/>
      <c r="I54" s="365"/>
      <c r="J54" s="364"/>
      <c r="K54" s="364"/>
      <c r="L54" s="364"/>
      <c r="M54" s="364"/>
      <c r="P54" s="363"/>
      <c r="Q54" s="363"/>
      <c r="R54" s="364"/>
      <c r="U54" s="365"/>
    </row>
    <row r="55" spans="1:22" s="359" customFormat="1" ht="9" x14ac:dyDescent="0.15">
      <c r="A55" s="358" t="s">
        <v>105</v>
      </c>
      <c r="B55" s="359" t="s">
        <v>841</v>
      </c>
      <c r="P55" s="363"/>
      <c r="Q55" s="363"/>
      <c r="R55" s="364"/>
      <c r="U55" s="365"/>
    </row>
    <row r="56" spans="1:22" s="359" customFormat="1" ht="9" x14ac:dyDescent="0.15">
      <c r="A56" s="358" t="s">
        <v>107</v>
      </c>
      <c r="B56" s="359" t="s">
        <v>1158</v>
      </c>
      <c r="P56" s="363"/>
      <c r="Q56" s="363"/>
      <c r="R56" s="364"/>
      <c r="U56" s="365"/>
    </row>
    <row r="57" spans="1:22" s="359" customFormat="1" ht="9" x14ac:dyDescent="0.15">
      <c r="A57" s="358" t="s">
        <v>1160</v>
      </c>
      <c r="B57" s="403" t="s">
        <v>1268</v>
      </c>
      <c r="C57" s="364"/>
      <c r="D57" s="364"/>
      <c r="E57" s="364"/>
      <c r="F57" s="364"/>
      <c r="G57" s="364"/>
      <c r="H57" s="364"/>
      <c r="I57" s="365"/>
      <c r="J57" s="364"/>
      <c r="K57" s="364"/>
      <c r="L57" s="364"/>
      <c r="M57" s="364"/>
      <c r="N57" s="364"/>
      <c r="O57" s="363"/>
      <c r="P57" s="363"/>
      <c r="Q57" s="363"/>
      <c r="R57" s="364"/>
    </row>
    <row r="58" spans="1:22" s="359" customFormat="1" ht="9" x14ac:dyDescent="0.15">
      <c r="A58" s="358" t="s">
        <v>1159</v>
      </c>
      <c r="B58" s="403" t="s">
        <v>1269</v>
      </c>
      <c r="C58" s="364"/>
      <c r="D58" s="364"/>
      <c r="E58" s="364"/>
      <c r="F58" s="364"/>
      <c r="G58" s="364"/>
      <c r="H58" s="364"/>
      <c r="I58" s="365"/>
      <c r="J58" s="364"/>
      <c r="K58" s="364"/>
      <c r="L58" s="364"/>
      <c r="M58" s="364"/>
      <c r="N58" s="364"/>
      <c r="O58" s="363"/>
      <c r="P58" s="363"/>
      <c r="Q58" s="363"/>
      <c r="R58" s="364"/>
    </row>
    <row r="59" spans="1:22" s="359" customFormat="1" ht="9" x14ac:dyDescent="0.15">
      <c r="A59" s="358" t="s">
        <v>1262</v>
      </c>
      <c r="B59" s="403" t="s">
        <v>1264</v>
      </c>
      <c r="C59" s="357"/>
      <c r="D59" s="357"/>
      <c r="E59" s="386"/>
      <c r="F59" s="357"/>
      <c r="G59" s="357"/>
      <c r="H59" s="357"/>
      <c r="I59" s="357"/>
      <c r="J59" s="357"/>
      <c r="K59" s="357"/>
      <c r="L59" s="357"/>
      <c r="M59" s="357"/>
      <c r="N59" s="357"/>
      <c r="O59" s="357"/>
      <c r="P59" s="357"/>
      <c r="Q59" s="357"/>
      <c r="R59" s="357"/>
    </row>
    <row r="60" spans="1:22" s="62" customFormat="1" ht="9" x14ac:dyDescent="0.15">
      <c r="B60" s="306"/>
      <c r="C60" s="306"/>
      <c r="D60" s="306"/>
      <c r="E60" s="385"/>
      <c r="F60" s="306"/>
      <c r="G60" s="306"/>
      <c r="H60" s="306"/>
      <c r="I60" s="306"/>
      <c r="J60" s="306"/>
      <c r="K60" s="306"/>
      <c r="L60" s="306"/>
      <c r="M60" s="306"/>
      <c r="N60" s="306"/>
      <c r="O60" s="306"/>
      <c r="P60" s="306"/>
      <c r="Q60" s="306"/>
      <c r="R60" s="306"/>
    </row>
    <row r="61" spans="1:22" s="62" customFormat="1" ht="9" x14ac:dyDescent="0.15">
      <c r="B61" s="306"/>
      <c r="C61" s="306"/>
      <c r="D61" s="306"/>
      <c r="E61" s="385"/>
      <c r="F61" s="306"/>
      <c r="G61" s="306"/>
      <c r="H61" s="306"/>
      <c r="I61" s="306"/>
      <c r="J61" s="306"/>
      <c r="K61" s="306"/>
      <c r="L61" s="306"/>
      <c r="M61" s="306"/>
      <c r="N61" s="306"/>
      <c r="O61" s="306"/>
      <c r="P61" s="306"/>
      <c r="Q61" s="306"/>
      <c r="R61" s="306"/>
    </row>
    <row r="62" spans="1:22" s="62" customFormat="1" ht="9" x14ac:dyDescent="0.15">
      <c r="B62" s="306"/>
      <c r="C62" s="306"/>
      <c r="D62" s="306"/>
      <c r="E62" s="385"/>
      <c r="F62" s="306"/>
      <c r="G62" s="306"/>
      <c r="H62" s="306"/>
      <c r="I62" s="306"/>
      <c r="J62" s="306"/>
      <c r="K62" s="306"/>
      <c r="L62" s="306"/>
      <c r="M62" s="306"/>
      <c r="N62" s="306"/>
      <c r="O62" s="306"/>
      <c r="P62" s="306"/>
      <c r="Q62" s="306"/>
    </row>
    <row r="63" spans="1:22" s="62" customFormat="1" ht="9" x14ac:dyDescent="0.15">
      <c r="B63" s="489"/>
      <c r="C63" s="489"/>
      <c r="D63" s="489"/>
      <c r="E63" s="489"/>
      <c r="F63" s="489"/>
      <c r="G63" s="489"/>
      <c r="H63" s="489"/>
      <c r="I63" s="489"/>
      <c r="J63" s="489"/>
      <c r="K63" s="489"/>
      <c r="L63" s="489"/>
      <c r="M63" s="489"/>
      <c r="N63" s="489"/>
      <c r="O63" s="489"/>
      <c r="P63" s="489"/>
      <c r="Q63" s="489"/>
      <c r="R63" s="489"/>
    </row>
    <row r="64" spans="1:22"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ht="9" x14ac:dyDescent="0.15">
      <c r="C76" s="63"/>
      <c r="D76" s="63"/>
      <c r="E76" s="63"/>
      <c r="F76" s="63"/>
      <c r="G76" s="63"/>
      <c r="H76" s="63"/>
      <c r="I76" s="64"/>
      <c r="J76" s="63"/>
      <c r="K76" s="63"/>
      <c r="L76" s="63"/>
      <c r="M76" s="63"/>
      <c r="N76" s="63"/>
      <c r="O76" s="61"/>
      <c r="P76" s="61"/>
      <c r="Q76" s="61"/>
      <c r="R76" s="63"/>
    </row>
    <row r="77" spans="3:18" s="62" customFormat="1" ht="9" x14ac:dyDescent="0.15">
      <c r="C77" s="63"/>
      <c r="D77" s="63"/>
      <c r="E77" s="63"/>
      <c r="F77" s="63"/>
      <c r="G77" s="63"/>
      <c r="H77" s="63"/>
      <c r="I77" s="64"/>
      <c r="J77" s="63"/>
      <c r="K77" s="63"/>
      <c r="L77" s="63"/>
      <c r="M77" s="63"/>
      <c r="N77" s="63"/>
      <c r="O77" s="61"/>
      <c r="P77" s="61"/>
      <c r="Q77" s="61"/>
      <c r="R77" s="63"/>
    </row>
    <row r="78" spans="3:18" s="62" customFormat="1" ht="9" x14ac:dyDescent="0.15">
      <c r="C78" s="63"/>
      <c r="D78" s="63"/>
      <c r="E78" s="63"/>
      <c r="F78" s="63"/>
      <c r="G78" s="63"/>
      <c r="H78" s="63"/>
      <c r="I78" s="64"/>
      <c r="J78" s="63"/>
      <c r="K78" s="63"/>
      <c r="L78" s="63"/>
      <c r="M78" s="63"/>
      <c r="N78" s="63"/>
      <c r="O78" s="61"/>
      <c r="P78" s="61"/>
      <c r="Q78" s="61"/>
      <c r="R78" s="63"/>
    </row>
    <row r="79" spans="3:18" s="62" customFormat="1" ht="9" x14ac:dyDescent="0.15">
      <c r="C79" s="63"/>
      <c r="D79" s="63"/>
      <c r="E79" s="63"/>
      <c r="F79" s="63"/>
      <c r="G79" s="63"/>
      <c r="H79" s="63"/>
      <c r="I79" s="64"/>
      <c r="J79" s="63"/>
      <c r="K79" s="63"/>
      <c r="L79" s="63"/>
      <c r="M79" s="63"/>
      <c r="N79" s="63"/>
      <c r="O79" s="61"/>
      <c r="P79" s="61"/>
      <c r="Q79" s="61"/>
      <c r="R79" s="63"/>
    </row>
    <row r="80" spans="3:18" s="62" customFormat="1" x14ac:dyDescent="0.2">
      <c r="C80" s="63"/>
      <c r="D80" s="63"/>
      <c r="E80" s="63"/>
      <c r="F80" s="63"/>
      <c r="G80" s="63"/>
      <c r="H80" s="63"/>
      <c r="I80" s="64"/>
      <c r="J80" s="63"/>
      <c r="K80" s="63"/>
      <c r="L80" s="63"/>
      <c r="M80" s="63"/>
      <c r="N80" s="63"/>
      <c r="O80" s="61"/>
      <c r="P80" s="61"/>
      <c r="Q80" s="61"/>
      <c r="R80" s="58"/>
    </row>
    <row r="81" spans="3:18" s="62" customFormat="1" x14ac:dyDescent="0.2">
      <c r="C81" s="63"/>
      <c r="D81" s="63"/>
      <c r="E81" s="63"/>
      <c r="F81" s="63"/>
      <c r="G81" s="58"/>
      <c r="H81" s="63"/>
      <c r="I81" s="64"/>
      <c r="J81" s="58"/>
      <c r="K81" s="63"/>
      <c r="L81" s="63"/>
      <c r="M81" s="63"/>
      <c r="N81" s="63"/>
      <c r="O81" s="61"/>
      <c r="P81" s="61"/>
      <c r="Q81" s="61"/>
      <c r="R81" s="58"/>
    </row>
    <row r="82" spans="3:18" x14ac:dyDescent="0.2">
      <c r="P82" s="61"/>
      <c r="Q82" s="61"/>
    </row>
    <row r="83" spans="3:18" x14ac:dyDescent="0.2">
      <c r="P83" s="61"/>
      <c r="Q83" s="61"/>
    </row>
  </sheetData>
  <mergeCells count="19">
    <mergeCell ref="C31:D31"/>
    <mergeCell ref="C37:D37"/>
    <mergeCell ref="C38:D38"/>
    <mergeCell ref="B63:R63"/>
    <mergeCell ref="C4:D4"/>
    <mergeCell ref="B47:R47"/>
    <mergeCell ref="B1:R1"/>
    <mergeCell ref="B49:R49"/>
    <mergeCell ref="B50:R50"/>
    <mergeCell ref="B2:R2"/>
    <mergeCell ref="B44:R44"/>
    <mergeCell ref="C5:D5"/>
    <mergeCell ref="C12:D12"/>
    <mergeCell ref="C13:D13"/>
    <mergeCell ref="C23:D23"/>
    <mergeCell ref="C24:D24"/>
    <mergeCell ref="C28:D28"/>
    <mergeCell ref="C29:D29"/>
    <mergeCell ref="C30:D30"/>
  </mergeCells>
  <pageMargins left="0.25" right="0.25" top="0.5" bottom="0.5" header="0.5" footer="0.5"/>
  <pageSetup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tabSelected="1" zoomScale="85" zoomScaleNormal="85" workbookViewId="0">
      <pane xSplit="9" ySplit="2" topLeftCell="J3" activePane="bottomRight" state="frozen"/>
      <selection activeCell="A4" sqref="A4:XFD4"/>
      <selection pane="topRight" activeCell="A4" sqref="A4:XFD4"/>
      <selection pane="bottomLeft" activeCell="A4" sqref="A4:XFD4"/>
      <selection pane="bottomRight" activeCell="N3" sqref="N1:N1048576"/>
    </sheetView>
  </sheetViews>
  <sheetFormatPr defaultRowHeight="11.25" x14ac:dyDescent="0.2"/>
  <cols>
    <col min="1" max="1" width="2" style="57" customWidth="1"/>
    <col min="2" max="2" width="36.7109375" style="57" customWidth="1"/>
    <col min="3" max="3" width="8.85546875" style="58" bestFit="1" customWidth="1"/>
    <col min="4" max="5" width="7.85546875" style="58" customWidth="1"/>
    <col min="6" max="6" width="44.7109375" style="58" customWidth="1"/>
    <col min="7" max="7" width="9.28515625" style="58" customWidth="1"/>
    <col min="8" max="8" width="8.28515625" style="58" customWidth="1"/>
    <col min="9" max="9" width="9.42578125" style="60" bestFit="1" customWidth="1"/>
    <col min="10" max="10" width="7.42578125" style="58" customWidth="1"/>
    <col min="11" max="12" width="6.85546875" style="58" bestFit="1" customWidth="1"/>
    <col min="13" max="13" width="8" style="58" customWidth="1"/>
    <col min="14" max="14" width="9.7109375" style="58" customWidth="1"/>
    <col min="15" max="15" width="10.140625" style="59" bestFit="1" customWidth="1"/>
    <col min="16" max="16" width="10" style="59" bestFit="1" customWidth="1"/>
    <col min="17" max="17" width="10" style="59" customWidth="1"/>
    <col min="18" max="18" width="4.42578125" style="58" bestFit="1" customWidth="1"/>
    <col min="19" max="19" width="0.140625" style="57" customWidth="1"/>
    <col min="20" max="20" width="3.7109375" style="57" customWidth="1"/>
    <col min="21" max="16384" width="9.140625" style="57"/>
  </cols>
  <sheetData>
    <row r="1" spans="2:20" x14ac:dyDescent="0.2">
      <c r="B1" s="493" t="s">
        <v>851</v>
      </c>
      <c r="C1" s="493"/>
      <c r="D1" s="493"/>
      <c r="E1" s="493"/>
      <c r="F1" s="493"/>
      <c r="G1" s="493"/>
      <c r="H1" s="493"/>
      <c r="I1" s="493"/>
      <c r="J1" s="493"/>
      <c r="K1" s="493"/>
      <c r="L1" s="493"/>
      <c r="M1" s="493"/>
      <c r="N1" s="493"/>
      <c r="O1" s="493"/>
      <c r="P1" s="493"/>
      <c r="Q1" s="493"/>
      <c r="R1" s="493"/>
    </row>
    <row r="2" spans="2:20" x14ac:dyDescent="0.2">
      <c r="B2" s="495" t="s">
        <v>1185</v>
      </c>
      <c r="C2" s="495"/>
      <c r="D2" s="495"/>
      <c r="E2" s="495"/>
      <c r="F2" s="495"/>
      <c r="G2" s="495"/>
      <c r="H2" s="495"/>
      <c r="I2" s="495"/>
      <c r="J2" s="495"/>
      <c r="K2" s="495"/>
      <c r="L2" s="495"/>
      <c r="M2" s="495"/>
      <c r="N2" s="495"/>
      <c r="O2" s="495"/>
      <c r="P2" s="495"/>
      <c r="Q2" s="495"/>
      <c r="R2" s="495"/>
    </row>
    <row r="3" spans="2:20" s="94" customFormat="1" ht="66.75" customHeight="1" x14ac:dyDescent="0.15">
      <c r="B3" s="96" t="s">
        <v>88</v>
      </c>
      <c r="C3" s="96" t="s">
        <v>843</v>
      </c>
      <c r="D3" s="96" t="s">
        <v>1250</v>
      </c>
      <c r="E3" s="96" t="s">
        <v>1251</v>
      </c>
      <c r="F3" s="96" t="s">
        <v>836</v>
      </c>
      <c r="G3" s="96" t="s">
        <v>839</v>
      </c>
      <c r="H3" s="96" t="s">
        <v>837</v>
      </c>
      <c r="I3" s="124" t="s">
        <v>840</v>
      </c>
      <c r="J3" s="125" t="s">
        <v>1173</v>
      </c>
      <c r="K3" s="125" t="s">
        <v>1174</v>
      </c>
      <c r="L3" s="125" t="s">
        <v>1175</v>
      </c>
      <c r="M3" s="125" t="s">
        <v>1176</v>
      </c>
      <c r="N3" s="96" t="s">
        <v>838</v>
      </c>
      <c r="O3" s="125" t="s">
        <v>1252</v>
      </c>
      <c r="P3" s="125" t="s">
        <v>844</v>
      </c>
      <c r="Q3" s="125" t="s">
        <v>852</v>
      </c>
      <c r="R3" s="95" t="s">
        <v>87</v>
      </c>
      <c r="S3" s="94" t="s">
        <v>86</v>
      </c>
    </row>
    <row r="4" spans="2:20" s="73" customFormat="1" ht="68.25" customHeight="1" x14ac:dyDescent="0.15">
      <c r="B4" s="93" t="s">
        <v>85</v>
      </c>
      <c r="C4" s="490" t="s">
        <v>61</v>
      </c>
      <c r="D4" s="491"/>
      <c r="E4" s="464"/>
      <c r="F4" s="91"/>
      <c r="G4" s="91"/>
      <c r="H4" s="91"/>
      <c r="I4" s="92"/>
      <c r="J4" s="92"/>
      <c r="K4" s="92"/>
      <c r="L4" s="92"/>
      <c r="M4" s="92"/>
      <c r="N4" s="90"/>
      <c r="O4" s="90"/>
      <c r="P4" s="90"/>
      <c r="Q4" s="134"/>
      <c r="R4" s="89"/>
    </row>
    <row r="5" spans="2:20" s="73" customFormat="1" ht="9" x14ac:dyDescent="0.15">
      <c r="B5" s="84" t="s">
        <v>84</v>
      </c>
      <c r="C5" s="496" t="s">
        <v>61</v>
      </c>
      <c r="D5" s="497"/>
      <c r="E5" s="467"/>
      <c r="F5" s="81"/>
      <c r="G5" s="81"/>
      <c r="H5" s="81"/>
      <c r="I5" s="82"/>
      <c r="J5" s="82"/>
      <c r="K5" s="82"/>
      <c r="L5" s="82"/>
      <c r="M5" s="82"/>
      <c r="N5" s="74"/>
      <c r="O5" s="74"/>
      <c r="P5" s="74"/>
      <c r="Q5" s="135"/>
      <c r="R5" s="80"/>
    </row>
    <row r="6" spans="2:20" s="73" customFormat="1" ht="9" x14ac:dyDescent="0.15">
      <c r="B6" s="84" t="s">
        <v>83</v>
      </c>
      <c r="C6" s="81"/>
      <c r="D6" s="74"/>
      <c r="E6" s="74"/>
      <c r="F6" s="81"/>
      <c r="G6" s="81"/>
      <c r="H6" s="81"/>
      <c r="I6" s="82"/>
      <c r="J6" s="82"/>
      <c r="K6" s="82"/>
      <c r="L6" s="82"/>
      <c r="M6" s="82"/>
      <c r="N6" s="74"/>
      <c r="O6" s="74"/>
      <c r="P6" s="74"/>
      <c r="Q6" s="135"/>
      <c r="R6" s="80"/>
    </row>
    <row r="7" spans="2:20" s="73" customFormat="1" ht="9" x14ac:dyDescent="0.15">
      <c r="B7" s="130" t="s">
        <v>82</v>
      </c>
      <c r="C7" s="81">
        <v>40</v>
      </c>
      <c r="D7" s="74">
        <v>0</v>
      </c>
      <c r="E7" s="74"/>
      <c r="F7" s="81">
        <v>1</v>
      </c>
      <c r="G7" s="81">
        <v>0</v>
      </c>
      <c r="H7" s="81">
        <f>C7*F7</f>
        <v>40</v>
      </c>
      <c r="I7" s="83">
        <f>'Annual # of Respondants'!D3</f>
        <v>43</v>
      </c>
      <c r="J7" s="82">
        <v>0</v>
      </c>
      <c r="K7" s="82">
        <f>H7*I7</f>
        <v>1720</v>
      </c>
      <c r="L7" s="82">
        <f>K7*0.1</f>
        <v>172</v>
      </c>
      <c r="M7" s="83">
        <f>K7*0.05</f>
        <v>86</v>
      </c>
      <c r="N7" s="74">
        <f>(J7*'Labor Data'!$K$10)+(K7*'Labor Data'!$K$9)+(L7*'Labor Data'!$K$11)+(M7*'Labor Data'!$K$8)</f>
        <v>163325.60999999999</v>
      </c>
      <c r="O7" s="74">
        <f>D7*F7*I7</f>
        <v>0</v>
      </c>
      <c r="P7" s="82">
        <v>0</v>
      </c>
      <c r="Q7" s="136"/>
      <c r="R7" s="80" t="s">
        <v>98</v>
      </c>
    </row>
    <row r="8" spans="2:20" s="73" customFormat="1" ht="9" x14ac:dyDescent="0.15">
      <c r="B8" s="84" t="s">
        <v>81</v>
      </c>
      <c r="C8" s="81"/>
      <c r="D8" s="74"/>
      <c r="E8" s="74"/>
      <c r="F8" s="81"/>
      <c r="G8" s="81"/>
      <c r="H8" s="81"/>
      <c r="I8" s="82"/>
      <c r="J8" s="82"/>
      <c r="K8" s="82"/>
      <c r="L8" s="82"/>
      <c r="M8" s="82"/>
      <c r="N8" s="74"/>
      <c r="O8" s="74"/>
      <c r="P8" s="74"/>
      <c r="Q8" s="135"/>
      <c r="R8" s="80"/>
      <c r="T8" s="88"/>
    </row>
    <row r="9" spans="2:20" s="73" customFormat="1" ht="9" x14ac:dyDescent="0.15">
      <c r="B9" s="130" t="s">
        <v>80</v>
      </c>
      <c r="C9" s="81">
        <v>12</v>
      </c>
      <c r="D9" s="74">
        <f>'Other Cost Basis'!D2+'Other Cost Basis'!D17+'Other Cost Basis'!D18+'Other Cost Basis'!D19</f>
        <v>1983.6594844730848</v>
      </c>
      <c r="E9" s="74">
        <f>'Other Cost Basis'!D20</f>
        <v>1000</v>
      </c>
      <c r="F9" s="81">
        <v>1</v>
      </c>
      <c r="G9" s="81">
        <v>0</v>
      </c>
      <c r="H9" s="81">
        <f>C9*F9</f>
        <v>12</v>
      </c>
      <c r="I9" s="83">
        <f>'Annual # of Respondants'!D12</f>
        <v>25</v>
      </c>
      <c r="J9" s="82">
        <v>0</v>
      </c>
      <c r="K9" s="82">
        <f>H9*I9</f>
        <v>300</v>
      </c>
      <c r="L9" s="82">
        <f>K9*0.1</f>
        <v>30</v>
      </c>
      <c r="M9" s="82">
        <f>K9*0.05</f>
        <v>15</v>
      </c>
      <c r="N9" s="74">
        <f>(J9*'Labor Data'!$K$10)+(K9*'Labor Data'!$K$9)+(L9*'Labor Data'!$K$11)+(M9*'Labor Data'!$K$8)</f>
        <v>28487.025000000001</v>
      </c>
      <c r="O9" s="426">
        <f>(D9+E9)*F9*I9</f>
        <v>74591.487111827126</v>
      </c>
      <c r="P9" s="82">
        <f>F9*I9</f>
        <v>25</v>
      </c>
      <c r="Q9" s="136">
        <f>'Other Cost Basis'!B2+'Other Cost Basis'!B17+'Other Cost Basis'!B18+'Other Cost Basis'!B19</f>
        <v>18067</v>
      </c>
      <c r="R9" s="80" t="s">
        <v>106</v>
      </c>
      <c r="T9" s="88"/>
    </row>
    <row r="10" spans="2:20" s="73" customFormat="1" ht="9" x14ac:dyDescent="0.15">
      <c r="B10" s="130" t="s">
        <v>79</v>
      </c>
      <c r="C10" s="119">
        <f>'Controllers NSPS acreage'!W3</f>
        <v>36.373279845593501</v>
      </c>
      <c r="D10" s="74">
        <f>'Other Cost Basis'!B9+'Other Cost Basis'!F13+'Other Cost Basis'!F14</f>
        <v>453.5</v>
      </c>
      <c r="E10" s="74"/>
      <c r="F10" s="81">
        <v>4</v>
      </c>
      <c r="G10" s="119">
        <f>C10*F10</f>
        <v>145.493119382374</v>
      </c>
      <c r="H10" s="81">
        <v>0</v>
      </c>
      <c r="I10" s="83">
        <f>'Annual # of Respondants'!D6</f>
        <v>25</v>
      </c>
      <c r="J10" s="82">
        <f>G10*I10</f>
        <v>3637.3279845593502</v>
      </c>
      <c r="K10" s="82">
        <v>0</v>
      </c>
      <c r="L10" s="82">
        <v>0</v>
      </c>
      <c r="M10" s="82">
        <v>0</v>
      </c>
      <c r="N10" s="74">
        <f>(J10*'Labor Data'!$K$10)+(K10*'Labor Data'!$K$9)+(L10*'Labor Data'!$K$11)+(M10*'Labor Data'!$K$8)</f>
        <v>181335.34934222183</v>
      </c>
      <c r="O10" s="74">
        <f>D10*F10*I10</f>
        <v>45350</v>
      </c>
      <c r="P10" s="82">
        <v>0</v>
      </c>
      <c r="Q10" s="136"/>
      <c r="R10" s="80" t="s">
        <v>1210</v>
      </c>
      <c r="T10" s="88"/>
    </row>
    <row r="11" spans="2:20" s="73" customFormat="1" ht="9" x14ac:dyDescent="0.15">
      <c r="B11" s="130" t="s">
        <v>1253</v>
      </c>
      <c r="C11" s="468">
        <f>ROUND(2000/49.85,0)</f>
        <v>40</v>
      </c>
      <c r="D11" s="469">
        <f>'Other Cost Basis'!F15</f>
        <v>17</v>
      </c>
      <c r="E11" s="469"/>
      <c r="F11" s="81">
        <v>12</v>
      </c>
      <c r="G11" s="119">
        <f>C11*F11</f>
        <v>480</v>
      </c>
      <c r="H11" s="81">
        <v>0</v>
      </c>
      <c r="I11" s="83">
        <f>I10</f>
        <v>25</v>
      </c>
      <c r="J11" s="82">
        <f>G11*I11</f>
        <v>12000</v>
      </c>
      <c r="K11" s="82">
        <v>0</v>
      </c>
      <c r="L11" s="82">
        <v>0</v>
      </c>
      <c r="M11" s="82">
        <v>0</v>
      </c>
      <c r="N11" s="74">
        <f>(J11*'Labor Data'!$K$10)+(K11*'Labor Data'!$K$9)+(L11*'Labor Data'!$K$11)+(M11*'Labor Data'!$K$8)</f>
        <v>598248</v>
      </c>
      <c r="O11" s="74">
        <f>D11*F11*I11</f>
        <v>5100</v>
      </c>
      <c r="P11" s="82">
        <v>1</v>
      </c>
      <c r="Q11" s="136"/>
      <c r="R11" s="80" t="s">
        <v>1210</v>
      </c>
      <c r="T11" s="88"/>
    </row>
    <row r="12" spans="2:20" s="73" customFormat="1" ht="9" x14ac:dyDescent="0.15">
      <c r="B12" s="84" t="s">
        <v>78</v>
      </c>
      <c r="C12" s="496" t="s">
        <v>93</v>
      </c>
      <c r="D12" s="497"/>
      <c r="E12" s="467"/>
      <c r="F12" s="81"/>
      <c r="G12" s="81"/>
      <c r="H12" s="81"/>
      <c r="I12" s="82"/>
      <c r="J12" s="82"/>
      <c r="K12" s="82"/>
      <c r="L12" s="82"/>
      <c r="M12" s="82"/>
      <c r="N12" s="74"/>
      <c r="O12" s="74"/>
      <c r="P12" s="74"/>
      <c r="Q12" s="135"/>
      <c r="R12" s="80"/>
      <c r="T12" s="88"/>
    </row>
    <row r="13" spans="2:20" s="73" customFormat="1" ht="9" x14ac:dyDescent="0.15">
      <c r="B13" s="84" t="s">
        <v>77</v>
      </c>
      <c r="C13" s="496" t="s">
        <v>93</v>
      </c>
      <c r="D13" s="497"/>
      <c r="E13" s="467"/>
      <c r="F13" s="81"/>
      <c r="G13" s="81"/>
      <c r="H13" s="81"/>
      <c r="I13" s="82"/>
      <c r="J13" s="82"/>
      <c r="K13" s="82"/>
      <c r="L13" s="82"/>
      <c r="M13" s="82"/>
      <c r="N13" s="74"/>
      <c r="O13" s="74"/>
      <c r="P13" s="74"/>
      <c r="Q13" s="135"/>
      <c r="R13" s="80"/>
    </row>
    <row r="14" spans="2:20" s="73" customFormat="1" ht="9" x14ac:dyDescent="0.15">
      <c r="B14" s="84" t="s">
        <v>76</v>
      </c>
      <c r="C14" s="81"/>
      <c r="D14" s="74"/>
      <c r="E14" s="74"/>
      <c r="F14" s="81"/>
      <c r="G14" s="81"/>
      <c r="H14" s="81"/>
      <c r="I14" s="82"/>
      <c r="J14" s="82"/>
      <c r="K14" s="82"/>
      <c r="L14" s="82"/>
      <c r="M14" s="82"/>
      <c r="N14" s="74"/>
      <c r="O14" s="74"/>
      <c r="P14" s="74"/>
      <c r="Q14" s="135"/>
      <c r="R14" s="80"/>
    </row>
    <row r="15" spans="2:20" s="73" customFormat="1" ht="9" x14ac:dyDescent="0.15">
      <c r="B15" s="129" t="s">
        <v>109</v>
      </c>
      <c r="C15" s="81">
        <v>2</v>
      </c>
      <c r="D15" s="74">
        <v>0</v>
      </c>
      <c r="E15" s="74"/>
      <c r="F15" s="81">
        <v>1</v>
      </c>
      <c r="G15" s="81">
        <v>0</v>
      </c>
      <c r="H15" s="81">
        <f t="shared" ref="H15:H22" si="0">C15*F15</f>
        <v>2</v>
      </c>
      <c r="I15" s="83">
        <f>'Annual # of Respondants'!D4</f>
        <v>6</v>
      </c>
      <c r="J15" s="82">
        <v>0</v>
      </c>
      <c r="K15" s="82">
        <f t="shared" ref="K15:K22" si="1">H15*I15</f>
        <v>12</v>
      </c>
      <c r="L15" s="82">
        <f t="shared" ref="L15:L22" si="2">K15*0.1</f>
        <v>1.2000000000000002</v>
      </c>
      <c r="M15" s="82">
        <f t="shared" ref="M15:M22" si="3">K15*0.05</f>
        <v>0.60000000000000009</v>
      </c>
      <c r="N15" s="74">
        <f>(J15*'Labor Data'!$K$10)+(K15*'Labor Data'!$K$9)+(L15*'Labor Data'!$K$11)+(M15*'Labor Data'!$K$8)</f>
        <v>1139.4810000000002</v>
      </c>
      <c r="O15" s="74">
        <f t="shared" ref="O15:O22" si="4">D15*F15*I15</f>
        <v>0</v>
      </c>
      <c r="P15" s="82">
        <f t="shared" ref="P15:P22" si="5">F15*I15</f>
        <v>6</v>
      </c>
      <c r="Q15" s="136"/>
      <c r="R15" s="80" t="s">
        <v>101</v>
      </c>
    </row>
    <row r="16" spans="2:20" s="73" customFormat="1" ht="9" x14ac:dyDescent="0.15">
      <c r="B16" s="127" t="s">
        <v>1163</v>
      </c>
      <c r="C16" s="466">
        <v>2</v>
      </c>
      <c r="D16" s="74">
        <v>0</v>
      </c>
      <c r="E16" s="74"/>
      <c r="F16" s="81">
        <v>1</v>
      </c>
      <c r="G16" s="81">
        <v>0</v>
      </c>
      <c r="H16" s="81">
        <f t="shared" si="0"/>
        <v>2</v>
      </c>
      <c r="I16" s="83">
        <f>0</f>
        <v>0</v>
      </c>
      <c r="J16" s="82">
        <v>0</v>
      </c>
      <c r="K16" s="82">
        <f t="shared" si="1"/>
        <v>0</v>
      </c>
      <c r="L16" s="82">
        <f t="shared" si="2"/>
        <v>0</v>
      </c>
      <c r="M16" s="82">
        <f t="shared" si="3"/>
        <v>0</v>
      </c>
      <c r="N16" s="74">
        <f>(J16*'Labor Data'!$K$10)+(K16*'Labor Data'!$K$9)+(L16*'Labor Data'!$K$11)+(M16*'Labor Data'!$K$8)</f>
        <v>0</v>
      </c>
      <c r="O16" s="74">
        <f t="shared" si="4"/>
        <v>0</v>
      </c>
      <c r="P16" s="82">
        <f t="shared" si="5"/>
        <v>0</v>
      </c>
      <c r="Q16" s="136"/>
      <c r="R16" s="80" t="s">
        <v>102</v>
      </c>
    </row>
    <row r="17" spans="2:19" s="73" customFormat="1" ht="9" x14ac:dyDescent="0.15">
      <c r="B17" s="127" t="s">
        <v>1164</v>
      </c>
      <c r="C17" s="81">
        <v>8</v>
      </c>
      <c r="D17" s="74">
        <v>0</v>
      </c>
      <c r="E17" s="74"/>
      <c r="F17" s="81">
        <v>1</v>
      </c>
      <c r="G17" s="81">
        <v>0</v>
      </c>
      <c r="H17" s="81">
        <f t="shared" si="0"/>
        <v>8</v>
      </c>
      <c r="I17" s="83">
        <f>'Annual # of Respondants'!D8</f>
        <v>6</v>
      </c>
      <c r="J17" s="82">
        <v>0</v>
      </c>
      <c r="K17" s="82">
        <f t="shared" si="1"/>
        <v>48</v>
      </c>
      <c r="L17" s="82">
        <f t="shared" si="2"/>
        <v>4.8000000000000007</v>
      </c>
      <c r="M17" s="82">
        <f t="shared" si="3"/>
        <v>2.4000000000000004</v>
      </c>
      <c r="N17" s="74">
        <f>(J17*'Labor Data'!$K$10)+(K17*'Labor Data'!$K$9)+(L17*'Labor Data'!$K$11)+(M17*'Labor Data'!$K$8)</f>
        <v>4557.9240000000009</v>
      </c>
      <c r="O17" s="74">
        <f t="shared" si="4"/>
        <v>0</v>
      </c>
      <c r="P17" s="82">
        <f t="shared" si="5"/>
        <v>6</v>
      </c>
      <c r="Q17" s="136"/>
      <c r="R17" s="80" t="s">
        <v>103</v>
      </c>
      <c r="S17" s="87"/>
    </row>
    <row r="18" spans="2:19" s="73" customFormat="1" ht="9" x14ac:dyDescent="0.15">
      <c r="B18" s="127" t="s">
        <v>1165</v>
      </c>
      <c r="C18" s="119">
        <v>12</v>
      </c>
      <c r="D18" s="74">
        <f>'Other Cost Basis'!D4</f>
        <v>2455.2476209413121</v>
      </c>
      <c r="E18" s="74"/>
      <c r="F18" s="81">
        <v>1</v>
      </c>
      <c r="G18" s="81">
        <v>0</v>
      </c>
      <c r="H18" s="119">
        <f t="shared" si="0"/>
        <v>12</v>
      </c>
      <c r="I18" s="83">
        <f>'Annual # of Respondants'!D9</f>
        <v>6</v>
      </c>
      <c r="J18" s="82">
        <v>0</v>
      </c>
      <c r="K18" s="82">
        <f t="shared" si="1"/>
        <v>72</v>
      </c>
      <c r="L18" s="82">
        <f t="shared" si="2"/>
        <v>7.2</v>
      </c>
      <c r="M18" s="82">
        <f t="shared" si="3"/>
        <v>3.6</v>
      </c>
      <c r="N18" s="74">
        <f>(J18*'Labor Data'!$K$10)+(K18*'Labor Data'!$K$9)+(L18*'Labor Data'!$K$11)+(M18*'Labor Data'!$K$8)</f>
        <v>6836.8860000000004</v>
      </c>
      <c r="O18" s="74">
        <f t="shared" si="4"/>
        <v>14731.485725647872</v>
      </c>
      <c r="P18" s="82">
        <f t="shared" si="5"/>
        <v>6</v>
      </c>
      <c r="Q18" s="136">
        <f>'Other Cost Basis'!B2</f>
        <v>10067</v>
      </c>
      <c r="R18" s="80" t="s">
        <v>1162</v>
      </c>
      <c r="S18" s="87"/>
    </row>
    <row r="19" spans="2:19" s="73" customFormat="1" ht="9" customHeight="1" x14ac:dyDescent="0.15">
      <c r="B19" s="127" t="s">
        <v>1166</v>
      </c>
      <c r="C19" s="81">
        <v>1</v>
      </c>
      <c r="D19" s="74">
        <v>0</v>
      </c>
      <c r="E19" s="74"/>
      <c r="F19" s="81">
        <v>1</v>
      </c>
      <c r="G19" s="81">
        <v>0</v>
      </c>
      <c r="H19" s="81">
        <f t="shared" si="0"/>
        <v>1</v>
      </c>
      <c r="I19" s="83">
        <v>0</v>
      </c>
      <c r="J19" s="82">
        <v>0</v>
      </c>
      <c r="K19" s="82">
        <f t="shared" si="1"/>
        <v>0</v>
      </c>
      <c r="L19" s="82">
        <f t="shared" si="2"/>
        <v>0</v>
      </c>
      <c r="M19" s="82">
        <f t="shared" si="3"/>
        <v>0</v>
      </c>
      <c r="N19" s="74">
        <f>(J19*'Labor Data'!$K$10)+(K19*'Labor Data'!$K$9)+(L19*'Labor Data'!$K$11)+(M19*'Labor Data'!$K$8)</f>
        <v>0</v>
      </c>
      <c r="O19" s="74">
        <f t="shared" si="4"/>
        <v>0</v>
      </c>
      <c r="P19" s="82">
        <f t="shared" si="5"/>
        <v>0</v>
      </c>
      <c r="Q19" s="136"/>
      <c r="R19" s="80" t="s">
        <v>104</v>
      </c>
      <c r="S19" s="87"/>
    </row>
    <row r="20" spans="2:19" s="73" customFormat="1" ht="9" x14ac:dyDescent="0.15">
      <c r="B20" s="127" t="s">
        <v>1167</v>
      </c>
      <c r="C20" s="81">
        <f>3*C18</f>
        <v>36</v>
      </c>
      <c r="D20" s="74">
        <v>0</v>
      </c>
      <c r="E20" s="74"/>
      <c r="F20" s="81">
        <v>1</v>
      </c>
      <c r="G20" s="81">
        <v>0</v>
      </c>
      <c r="H20" s="81">
        <f t="shared" si="0"/>
        <v>36</v>
      </c>
      <c r="I20" s="83">
        <v>0</v>
      </c>
      <c r="J20" s="82">
        <v>0</v>
      </c>
      <c r="K20" s="82">
        <f t="shared" si="1"/>
        <v>0</v>
      </c>
      <c r="L20" s="82">
        <f t="shared" si="2"/>
        <v>0</v>
      </c>
      <c r="M20" s="82">
        <f t="shared" si="3"/>
        <v>0</v>
      </c>
      <c r="N20" s="74">
        <f>(J20*'Labor Data'!$K$10)+(K20*'Labor Data'!$K$9)+(L20*'Labor Data'!$K$11)+(M20*'Labor Data'!$K$8)</f>
        <v>0</v>
      </c>
      <c r="O20" s="74">
        <f t="shared" si="4"/>
        <v>0</v>
      </c>
      <c r="P20" s="82">
        <f t="shared" si="5"/>
        <v>0</v>
      </c>
      <c r="Q20" s="136"/>
      <c r="R20" s="80" t="s">
        <v>1161</v>
      </c>
      <c r="S20" s="87"/>
    </row>
    <row r="21" spans="2:19" s="73" customFormat="1" ht="9" x14ac:dyDescent="0.15">
      <c r="B21" s="127" t="s">
        <v>1168</v>
      </c>
      <c r="C21" s="81">
        <v>80</v>
      </c>
      <c r="D21" s="74">
        <v>0</v>
      </c>
      <c r="E21" s="74"/>
      <c r="F21" s="81">
        <v>1</v>
      </c>
      <c r="G21" s="81">
        <v>0</v>
      </c>
      <c r="H21" s="81">
        <f t="shared" si="0"/>
        <v>80</v>
      </c>
      <c r="I21" s="83">
        <f>I$10</f>
        <v>25</v>
      </c>
      <c r="J21" s="82">
        <v>0</v>
      </c>
      <c r="K21" s="82">
        <f t="shared" si="1"/>
        <v>2000</v>
      </c>
      <c r="L21" s="82">
        <f t="shared" si="2"/>
        <v>200</v>
      </c>
      <c r="M21" s="82">
        <f t="shared" si="3"/>
        <v>100</v>
      </c>
      <c r="N21" s="74">
        <f>(J21*'Labor Data'!$K$10)+(K21*'Labor Data'!$K$9)+(L21*'Labor Data'!$K$11)+(M21*'Labor Data'!$K$8)</f>
        <v>189913.50000000003</v>
      </c>
      <c r="O21" s="74">
        <f t="shared" si="4"/>
        <v>0</v>
      </c>
      <c r="P21" s="82">
        <f t="shared" si="5"/>
        <v>25</v>
      </c>
      <c r="Q21" s="136"/>
      <c r="R21" s="80" t="s">
        <v>99</v>
      </c>
      <c r="S21" s="87"/>
    </row>
    <row r="22" spans="2:19" s="73" customFormat="1" ht="9" x14ac:dyDescent="0.15">
      <c r="B22" s="127" t="s">
        <v>1169</v>
      </c>
      <c r="C22" s="466">
        <v>20</v>
      </c>
      <c r="D22" s="74">
        <v>0</v>
      </c>
      <c r="E22" s="74"/>
      <c r="F22" s="81">
        <v>1</v>
      </c>
      <c r="G22" s="81">
        <v>0</v>
      </c>
      <c r="H22" s="81">
        <f t="shared" si="0"/>
        <v>20</v>
      </c>
      <c r="I22" s="83">
        <f>I21*0.1</f>
        <v>2.5</v>
      </c>
      <c r="J22" s="82">
        <v>0</v>
      </c>
      <c r="K22" s="82">
        <f t="shared" si="1"/>
        <v>50</v>
      </c>
      <c r="L22" s="82">
        <f t="shared" si="2"/>
        <v>5</v>
      </c>
      <c r="M22" s="82">
        <f t="shared" si="3"/>
        <v>2.5</v>
      </c>
      <c r="N22" s="74">
        <f>(J22*'Labor Data'!$K$10)+(K22*'Labor Data'!$K$9)+(L22*'Labor Data'!$K$11)+(M22*'Labor Data'!$K$8)</f>
        <v>4747.8375000000005</v>
      </c>
      <c r="O22" s="74">
        <f t="shared" si="4"/>
        <v>0</v>
      </c>
      <c r="P22" s="82">
        <f t="shared" si="5"/>
        <v>2.5</v>
      </c>
      <c r="Q22" s="136"/>
      <c r="R22" s="80" t="s">
        <v>107</v>
      </c>
      <c r="S22" s="87"/>
    </row>
    <row r="23" spans="2:19" s="73" customFormat="1" ht="9" x14ac:dyDescent="0.15">
      <c r="B23" s="127" t="s">
        <v>1170</v>
      </c>
      <c r="C23" s="496" t="s">
        <v>93</v>
      </c>
      <c r="D23" s="497"/>
      <c r="E23" s="467"/>
      <c r="F23" s="81"/>
      <c r="G23" s="81"/>
      <c r="H23" s="81"/>
      <c r="I23" s="83"/>
      <c r="J23" s="82"/>
      <c r="K23" s="82"/>
      <c r="L23" s="82"/>
      <c r="M23" s="82"/>
      <c r="N23" s="74"/>
      <c r="O23" s="74"/>
      <c r="P23" s="82"/>
      <c r="Q23" s="136"/>
      <c r="R23" s="80"/>
      <c r="S23" s="87"/>
    </row>
    <row r="24" spans="2:19" s="73" customFormat="1" ht="9" x14ac:dyDescent="0.15">
      <c r="B24" s="127" t="s">
        <v>1171</v>
      </c>
      <c r="C24" s="496" t="s">
        <v>93</v>
      </c>
      <c r="D24" s="497"/>
      <c r="E24" s="467"/>
      <c r="F24" s="81"/>
      <c r="G24" s="81"/>
      <c r="H24" s="81"/>
      <c r="I24" s="83"/>
      <c r="J24" s="82"/>
      <c r="K24" s="82"/>
      <c r="L24" s="82"/>
      <c r="M24" s="82"/>
      <c r="N24" s="74"/>
      <c r="O24" s="74"/>
      <c r="P24" s="82"/>
      <c r="Q24" s="136"/>
      <c r="R24" s="80"/>
      <c r="S24" s="87"/>
    </row>
    <row r="25" spans="2:19" s="73" customFormat="1" ht="9" x14ac:dyDescent="0.15">
      <c r="B25" s="127" t="s">
        <v>1172</v>
      </c>
      <c r="C25" s="81">
        <v>27</v>
      </c>
      <c r="D25" s="74">
        <v>0</v>
      </c>
      <c r="E25" s="74"/>
      <c r="F25" s="81">
        <v>1</v>
      </c>
      <c r="G25" s="81">
        <v>0</v>
      </c>
      <c r="H25" s="81">
        <f>C25*F25</f>
        <v>27</v>
      </c>
      <c r="I25" s="83">
        <f>I$10</f>
        <v>25</v>
      </c>
      <c r="J25" s="82">
        <v>0</v>
      </c>
      <c r="K25" s="82">
        <f>H25*I25</f>
        <v>675</v>
      </c>
      <c r="L25" s="82">
        <f>K25*0.1</f>
        <v>67.5</v>
      </c>
      <c r="M25" s="82">
        <f>K25*0.05</f>
        <v>33.75</v>
      </c>
      <c r="N25" s="74">
        <f>(J25*'Labor Data'!$K$10)+(K25*'Labor Data'!$K$9)+(L25*'Labor Data'!$K$11)+(M25*'Labor Data'!$K$8)</f>
        <v>64095.806250000009</v>
      </c>
      <c r="O25" s="74">
        <f>D25*F25*I25</f>
        <v>0</v>
      </c>
      <c r="P25" s="82">
        <f>F25*I25</f>
        <v>25</v>
      </c>
      <c r="Q25" s="136"/>
      <c r="R25" s="80" t="s">
        <v>1160</v>
      </c>
      <c r="S25" s="87"/>
    </row>
    <row r="26" spans="2:19" s="73" customFormat="1" ht="9" x14ac:dyDescent="0.15">
      <c r="B26" s="86" t="s">
        <v>74</v>
      </c>
      <c r="C26" s="81"/>
      <c r="D26" s="74"/>
      <c r="E26" s="74"/>
      <c r="F26" s="81"/>
      <c r="G26" s="81"/>
      <c r="H26" s="81"/>
      <c r="I26" s="83"/>
      <c r="J26" s="82">
        <f t="shared" ref="J26:O26" si="6">SUM(J7:J25)</f>
        <v>15637.32798455935</v>
      </c>
      <c r="K26" s="82">
        <f t="shared" si="6"/>
        <v>4877</v>
      </c>
      <c r="L26" s="82">
        <f t="shared" si="6"/>
        <v>487.7</v>
      </c>
      <c r="M26" s="82">
        <f t="shared" si="6"/>
        <v>243.85</v>
      </c>
      <c r="N26" s="74">
        <f t="shared" si="6"/>
        <v>1242687.4190922219</v>
      </c>
      <c r="O26" s="74">
        <f t="shared" si="6"/>
        <v>139772.97283747501</v>
      </c>
      <c r="P26" s="82">
        <f>SUM(P15:P25)+P9</f>
        <v>95.5</v>
      </c>
      <c r="Q26" s="74">
        <f>SUM(Q7:Q25)</f>
        <v>28134</v>
      </c>
      <c r="R26" s="80"/>
      <c r="S26" s="85" t="e">
        <f>SUM(O7,O9:O10,#REF!,#REF!,#REF!,#REF!,#REF!,#REF!,#REF!)</f>
        <v>#REF!</v>
      </c>
    </row>
    <row r="27" spans="2:19" s="73" customFormat="1" ht="9" x14ac:dyDescent="0.15">
      <c r="B27" s="84" t="s">
        <v>73</v>
      </c>
      <c r="C27" s="81"/>
      <c r="D27" s="74"/>
      <c r="E27" s="74"/>
      <c r="F27" s="81"/>
      <c r="G27" s="81"/>
      <c r="H27" s="81"/>
      <c r="I27" s="82"/>
      <c r="J27" s="82"/>
      <c r="K27" s="82"/>
      <c r="L27" s="82"/>
      <c r="M27" s="82"/>
      <c r="N27" s="74"/>
      <c r="O27" s="74"/>
      <c r="P27" s="74"/>
      <c r="Q27" s="135"/>
      <c r="R27" s="80"/>
    </row>
    <row r="28" spans="2:19" s="73" customFormat="1" ht="9" x14ac:dyDescent="0.15">
      <c r="B28" s="84" t="s">
        <v>72</v>
      </c>
      <c r="C28" s="496" t="s">
        <v>71</v>
      </c>
      <c r="D28" s="497"/>
      <c r="E28" s="467"/>
      <c r="F28" s="81"/>
      <c r="G28" s="81"/>
      <c r="H28" s="81"/>
      <c r="I28" s="82"/>
      <c r="J28" s="82"/>
      <c r="K28" s="82"/>
      <c r="L28" s="82"/>
      <c r="M28" s="82"/>
      <c r="N28" s="74"/>
      <c r="O28" s="74"/>
      <c r="P28" s="74"/>
      <c r="Q28" s="135"/>
      <c r="R28" s="80"/>
    </row>
    <row r="29" spans="2:19" s="73" customFormat="1" ht="9" x14ac:dyDescent="0.15">
      <c r="B29" s="84" t="s">
        <v>70</v>
      </c>
      <c r="C29" s="496" t="s">
        <v>61</v>
      </c>
      <c r="D29" s="497"/>
      <c r="E29" s="467"/>
      <c r="F29" s="81"/>
      <c r="G29" s="81"/>
      <c r="H29" s="81"/>
      <c r="I29" s="82"/>
      <c r="J29" s="82"/>
      <c r="K29" s="82"/>
      <c r="L29" s="82"/>
      <c r="M29" s="82"/>
      <c r="N29" s="74"/>
      <c r="O29" s="74"/>
      <c r="P29" s="74"/>
      <c r="Q29" s="135"/>
      <c r="R29" s="80"/>
    </row>
    <row r="30" spans="2:19" s="73" customFormat="1" ht="9" x14ac:dyDescent="0.15">
      <c r="B30" s="84" t="s">
        <v>69</v>
      </c>
      <c r="C30" s="496" t="s">
        <v>61</v>
      </c>
      <c r="D30" s="497"/>
      <c r="E30" s="467"/>
      <c r="F30" s="81"/>
      <c r="G30" s="81"/>
      <c r="H30" s="81"/>
      <c r="I30" s="82"/>
      <c r="J30" s="82"/>
      <c r="K30" s="82"/>
      <c r="L30" s="82"/>
      <c r="M30" s="82"/>
      <c r="N30" s="74"/>
      <c r="O30" s="74"/>
      <c r="P30" s="74"/>
      <c r="Q30" s="135"/>
      <c r="R30" s="80"/>
    </row>
    <row r="31" spans="2:19" s="73" customFormat="1" ht="9" x14ac:dyDescent="0.15">
      <c r="B31" s="84" t="s">
        <v>68</v>
      </c>
      <c r="C31" s="496" t="s">
        <v>61</v>
      </c>
      <c r="D31" s="497"/>
      <c r="E31" s="467"/>
      <c r="F31" s="81"/>
      <c r="G31" s="81"/>
      <c r="H31" s="81"/>
      <c r="I31" s="82"/>
      <c r="J31" s="82"/>
      <c r="K31" s="82"/>
      <c r="L31" s="82"/>
      <c r="M31" s="82"/>
      <c r="N31" s="74"/>
      <c r="O31" s="74"/>
      <c r="P31" s="74"/>
      <c r="Q31" s="135"/>
      <c r="R31" s="80"/>
    </row>
    <row r="32" spans="2:19" s="73" customFormat="1" ht="9" x14ac:dyDescent="0.15">
      <c r="B32" s="84" t="s">
        <v>66</v>
      </c>
      <c r="C32" s="81"/>
      <c r="D32" s="74"/>
      <c r="E32" s="74"/>
      <c r="F32" s="81"/>
      <c r="G32" s="81"/>
      <c r="H32" s="81"/>
      <c r="I32" s="82"/>
      <c r="J32" s="82"/>
      <c r="K32" s="82"/>
      <c r="L32" s="82"/>
      <c r="M32" s="82"/>
      <c r="N32" s="74"/>
      <c r="O32" s="74"/>
      <c r="P32" s="74"/>
      <c r="Q32" s="135"/>
      <c r="R32" s="80"/>
    </row>
    <row r="33" spans="1:19" s="73" customFormat="1" ht="9.75" customHeight="1" x14ac:dyDescent="0.15">
      <c r="B33" s="129" t="s">
        <v>1267</v>
      </c>
      <c r="C33" s="466">
        <v>5</v>
      </c>
      <c r="D33" s="74">
        <v>0</v>
      </c>
      <c r="E33" s="74"/>
      <c r="F33" s="81">
        <v>12</v>
      </c>
      <c r="G33" s="81">
        <v>0</v>
      </c>
      <c r="H33" s="81">
        <f>C33*F33</f>
        <v>60</v>
      </c>
      <c r="I33" s="83">
        <f>I$10</f>
        <v>25</v>
      </c>
      <c r="J33" s="82">
        <v>0</v>
      </c>
      <c r="K33" s="82">
        <f>H33*I33</f>
        <v>1500</v>
      </c>
      <c r="L33" s="82">
        <f>K33*0.1</f>
        <v>150</v>
      </c>
      <c r="M33" s="82">
        <f>K33*0.05</f>
        <v>75</v>
      </c>
      <c r="N33" s="74">
        <f>(J33*'Labor Data'!$K$10)+(K33*'Labor Data'!$K$9)+(L33*'Labor Data'!$K$11)+(M33*'Labor Data'!$K$8)</f>
        <v>142435.12500000003</v>
      </c>
      <c r="O33" s="74">
        <f>D33*F33*I33</f>
        <v>0</v>
      </c>
      <c r="P33" s="82">
        <v>0</v>
      </c>
      <c r="Q33" s="136"/>
      <c r="R33" s="80" t="s">
        <v>1159</v>
      </c>
    </row>
    <row r="34" spans="1:19" s="73" customFormat="1" ht="9.75" customHeight="1" x14ac:dyDescent="0.15">
      <c r="B34" s="127" t="s">
        <v>1261</v>
      </c>
      <c r="C34" s="81">
        <v>11</v>
      </c>
      <c r="D34" s="74">
        <v>0</v>
      </c>
      <c r="E34" s="74"/>
      <c r="F34" s="81">
        <v>12</v>
      </c>
      <c r="G34" s="81">
        <v>0</v>
      </c>
      <c r="H34" s="81">
        <f>C34*F34</f>
        <v>132</v>
      </c>
      <c r="I34" s="83">
        <f>I$10</f>
        <v>25</v>
      </c>
      <c r="J34" s="82">
        <v>0</v>
      </c>
      <c r="K34" s="82">
        <f>H34*I34</f>
        <v>3300</v>
      </c>
      <c r="L34" s="82">
        <f>K34*0.1</f>
        <v>330</v>
      </c>
      <c r="M34" s="82">
        <f>K34*0.05</f>
        <v>165</v>
      </c>
      <c r="N34" s="74">
        <f>(J34*'Labor Data'!$K$10)+(K34*'Labor Data'!$K$9)+(L34*'Labor Data'!$K$11)+(M34*'Labor Data'!$K$8)</f>
        <v>313357.27500000002</v>
      </c>
      <c r="O34" s="74">
        <f>D34*F34*I34</f>
        <v>0</v>
      </c>
      <c r="P34" s="82">
        <v>0</v>
      </c>
      <c r="Q34" s="136"/>
      <c r="R34" s="80" t="s">
        <v>1159</v>
      </c>
    </row>
    <row r="35" spans="1:19" s="73" customFormat="1" ht="9" x14ac:dyDescent="0.15">
      <c r="B35" s="127" t="s">
        <v>1260</v>
      </c>
      <c r="C35" s="466">
        <v>4</v>
      </c>
      <c r="D35" s="74">
        <v>0</v>
      </c>
      <c r="E35" s="74"/>
      <c r="F35" s="81">
        <v>1</v>
      </c>
      <c r="G35" s="81">
        <v>0</v>
      </c>
      <c r="H35" s="81">
        <f>C35*F35</f>
        <v>4</v>
      </c>
      <c r="I35" s="83">
        <f>'Annual # of Respondants'!D5-I34</f>
        <v>18</v>
      </c>
      <c r="J35" s="82">
        <v>0</v>
      </c>
      <c r="K35" s="82">
        <f>H35*I35</f>
        <v>72</v>
      </c>
      <c r="L35" s="82">
        <f>K35*0.1</f>
        <v>7.2</v>
      </c>
      <c r="M35" s="82">
        <f>K35*0.05</f>
        <v>3.6</v>
      </c>
      <c r="N35" s="74">
        <f>(J35*'Labor Data'!$K$10)+(K35*'Labor Data'!$K$9)+(L35*'Labor Data'!$K$11)+(M35*'Labor Data'!$K$8)</f>
        <v>6836.8860000000004</v>
      </c>
      <c r="O35" s="74">
        <f>D35*F35*I35</f>
        <v>0</v>
      </c>
      <c r="P35" s="82">
        <v>0</v>
      </c>
      <c r="Q35" s="136"/>
      <c r="R35" s="80" t="s">
        <v>1262</v>
      </c>
    </row>
    <row r="36" spans="1:19" s="73" customFormat="1" ht="9" x14ac:dyDescent="0.15">
      <c r="B36" s="84" t="s">
        <v>64</v>
      </c>
      <c r="C36" s="496" t="s">
        <v>61</v>
      </c>
      <c r="D36" s="497"/>
      <c r="E36" s="467"/>
      <c r="F36" s="81"/>
      <c r="G36" s="81"/>
      <c r="H36" s="81"/>
      <c r="I36" s="83"/>
      <c r="J36" s="82"/>
      <c r="K36" s="82"/>
      <c r="L36" s="82"/>
      <c r="M36" s="82"/>
      <c r="N36" s="74"/>
      <c r="O36" s="74"/>
      <c r="P36" s="82"/>
      <c r="Q36" s="136"/>
      <c r="R36" s="80"/>
    </row>
    <row r="37" spans="1:19" s="73" customFormat="1" ht="9" x14ac:dyDescent="0.15">
      <c r="B37" s="128" t="s">
        <v>62</v>
      </c>
      <c r="C37" s="496" t="s">
        <v>61</v>
      </c>
      <c r="D37" s="497"/>
      <c r="E37" s="467"/>
      <c r="F37" s="81"/>
      <c r="G37" s="81"/>
      <c r="H37" s="81"/>
      <c r="I37" s="83"/>
      <c r="J37" s="82"/>
      <c r="K37" s="82"/>
      <c r="L37" s="82"/>
      <c r="M37" s="82"/>
      <c r="N37" s="74"/>
      <c r="O37" s="74"/>
      <c r="P37" s="74"/>
      <c r="Q37" s="135"/>
      <c r="R37" s="80"/>
    </row>
    <row r="38" spans="1:19" s="73" customFormat="1" ht="9" x14ac:dyDescent="0.15">
      <c r="B38" s="79" t="s">
        <v>60</v>
      </c>
      <c r="C38" s="78"/>
      <c r="D38" s="77"/>
      <c r="E38" s="77"/>
      <c r="F38" s="78"/>
      <c r="G38" s="78"/>
      <c r="H38" s="78"/>
      <c r="I38" s="76"/>
      <c r="J38" s="76">
        <f>SUM(J28:J37)</f>
        <v>0</v>
      </c>
      <c r="K38" s="76">
        <f t="shared" ref="K38:Q38" si="7">SUM(K28:K37)</f>
        <v>4872</v>
      </c>
      <c r="L38" s="76">
        <f t="shared" si="7"/>
        <v>487.2</v>
      </c>
      <c r="M38" s="76">
        <f t="shared" si="7"/>
        <v>243.6</v>
      </c>
      <c r="N38" s="77">
        <f t="shared" si="7"/>
        <v>462629.28600000002</v>
      </c>
      <c r="O38" s="77">
        <f t="shared" si="7"/>
        <v>0</v>
      </c>
      <c r="P38" s="76">
        <f t="shared" si="7"/>
        <v>0</v>
      </c>
      <c r="Q38" s="77">
        <f t="shared" si="7"/>
        <v>0</v>
      </c>
      <c r="R38" s="75"/>
      <c r="S38" s="74">
        <f>SUM(S28:S37)</f>
        <v>0</v>
      </c>
    </row>
    <row r="39" spans="1:19" s="65" customFormat="1" x14ac:dyDescent="0.2">
      <c r="B39" s="72" t="s">
        <v>59</v>
      </c>
      <c r="C39" s="70"/>
      <c r="D39" s="71"/>
      <c r="E39" s="71"/>
      <c r="F39" s="70"/>
      <c r="G39" s="70"/>
      <c r="H39" s="70"/>
      <c r="I39" s="69"/>
      <c r="J39" s="67">
        <f t="shared" ref="J39:Q39" si="8">J26+J38</f>
        <v>15637.32798455935</v>
      </c>
      <c r="K39" s="67">
        <f t="shared" si="8"/>
        <v>9749</v>
      </c>
      <c r="L39" s="67">
        <f t="shared" si="8"/>
        <v>974.9</v>
      </c>
      <c r="M39" s="67">
        <f t="shared" si="8"/>
        <v>487.45</v>
      </c>
      <c r="N39" s="68">
        <f t="shared" si="8"/>
        <v>1705316.705092222</v>
      </c>
      <c r="O39" s="68">
        <f>O26+O38</f>
        <v>139772.97283747501</v>
      </c>
      <c r="P39" s="67">
        <f t="shared" si="8"/>
        <v>95.5</v>
      </c>
      <c r="Q39" s="68">
        <f t="shared" si="8"/>
        <v>28134</v>
      </c>
      <c r="R39" s="66"/>
    </row>
    <row r="40" spans="1:19" ht="39" customHeight="1" x14ac:dyDescent="0.2"/>
    <row r="41" spans="1:19" s="62" customFormat="1" ht="12.75" customHeight="1" x14ac:dyDescent="0.15">
      <c r="A41" s="122" t="s">
        <v>96</v>
      </c>
      <c r="B41" s="126"/>
      <c r="C41" s="126"/>
      <c r="D41" s="126"/>
      <c r="E41" s="126"/>
      <c r="F41" s="126"/>
      <c r="G41" s="126"/>
      <c r="H41" s="126"/>
      <c r="I41" s="126"/>
      <c r="J41" s="126"/>
      <c r="K41" s="126"/>
      <c r="L41" s="126"/>
      <c r="M41" s="126"/>
      <c r="N41" s="126"/>
      <c r="O41" s="126"/>
      <c r="P41" s="126"/>
      <c r="Q41" s="126"/>
      <c r="R41" s="63"/>
    </row>
    <row r="42" spans="1:19" s="62" customFormat="1" ht="9" customHeight="1" x14ac:dyDescent="0.15">
      <c r="A42" s="121" t="s">
        <v>75</v>
      </c>
      <c r="B42" s="359" t="s">
        <v>1257</v>
      </c>
    </row>
    <row r="43" spans="1:19" s="62" customFormat="1" ht="19.5" customHeight="1" x14ac:dyDescent="0.15">
      <c r="A43" s="121" t="s">
        <v>97</v>
      </c>
      <c r="B43" s="489" t="s">
        <v>1232</v>
      </c>
      <c r="C43" s="489"/>
      <c r="D43" s="489"/>
      <c r="E43" s="489"/>
      <c r="F43" s="489"/>
      <c r="G43" s="489"/>
      <c r="H43" s="489"/>
      <c r="I43" s="489"/>
      <c r="J43" s="489"/>
      <c r="K43" s="489"/>
      <c r="L43" s="489"/>
      <c r="M43" s="489"/>
      <c r="N43" s="489"/>
      <c r="O43" s="489"/>
      <c r="P43" s="489"/>
      <c r="Q43" s="489"/>
      <c r="R43" s="489"/>
    </row>
    <row r="44" spans="1:19" s="62" customFormat="1" ht="9" customHeight="1" x14ac:dyDescent="0.15">
      <c r="A44" s="121" t="s">
        <v>65</v>
      </c>
      <c r="B44" s="116" t="s">
        <v>842</v>
      </c>
    </row>
    <row r="45" spans="1:19" s="62" customFormat="1" ht="9" x14ac:dyDescent="0.15">
      <c r="A45" s="121" t="s">
        <v>98</v>
      </c>
      <c r="B45" s="116" t="s">
        <v>1227</v>
      </c>
      <c r="C45" s="463"/>
      <c r="D45" s="463"/>
      <c r="E45" s="463"/>
      <c r="F45" s="463"/>
      <c r="G45" s="463"/>
      <c r="H45" s="463"/>
      <c r="I45" s="463"/>
      <c r="J45" s="463"/>
      <c r="K45" s="463"/>
      <c r="L45" s="463"/>
      <c r="M45" s="463"/>
      <c r="N45" s="463"/>
      <c r="O45" s="463"/>
      <c r="P45" s="463"/>
      <c r="Q45" s="463"/>
      <c r="R45" s="463"/>
    </row>
    <row r="46" spans="1:19" s="62" customFormat="1" ht="27" customHeight="1" x14ac:dyDescent="0.15">
      <c r="A46" s="121" t="s">
        <v>67</v>
      </c>
      <c r="B46" s="489" t="s">
        <v>1265</v>
      </c>
      <c r="C46" s="489"/>
      <c r="D46" s="489"/>
      <c r="E46" s="489"/>
      <c r="F46" s="489"/>
      <c r="G46" s="489"/>
      <c r="H46" s="489"/>
      <c r="I46" s="489"/>
      <c r="J46" s="489"/>
      <c r="K46" s="489"/>
      <c r="L46" s="489"/>
      <c r="M46" s="489"/>
      <c r="N46" s="489"/>
      <c r="O46" s="489"/>
      <c r="P46" s="489"/>
      <c r="Q46" s="489"/>
      <c r="R46" s="489"/>
      <c r="S46" s="489"/>
    </row>
    <row r="47" spans="1:19" s="62" customFormat="1" ht="9" x14ac:dyDescent="0.15">
      <c r="A47" s="121" t="s">
        <v>99</v>
      </c>
      <c r="B47" s="62" t="s">
        <v>1202</v>
      </c>
    </row>
    <row r="48" spans="1:19" s="62" customFormat="1" ht="46.5" customHeight="1" x14ac:dyDescent="0.15">
      <c r="A48" s="121" t="s">
        <v>100</v>
      </c>
      <c r="B48" s="489" t="s">
        <v>1276</v>
      </c>
      <c r="C48" s="489"/>
      <c r="D48" s="489"/>
      <c r="E48" s="489"/>
      <c r="F48" s="489"/>
      <c r="G48" s="489"/>
      <c r="H48" s="489"/>
      <c r="I48" s="489"/>
      <c r="J48" s="489"/>
      <c r="K48" s="489"/>
      <c r="L48" s="489"/>
      <c r="M48" s="489"/>
      <c r="N48" s="489"/>
      <c r="O48" s="489"/>
      <c r="P48" s="489"/>
      <c r="Q48" s="489"/>
      <c r="R48" s="489"/>
      <c r="S48" s="489"/>
    </row>
    <row r="49" spans="1:18" s="62" customFormat="1" ht="18" customHeight="1" x14ac:dyDescent="0.15">
      <c r="A49" s="121" t="s">
        <v>101</v>
      </c>
      <c r="B49" s="489" t="s">
        <v>1221</v>
      </c>
      <c r="C49" s="489"/>
      <c r="D49" s="489"/>
      <c r="E49" s="489"/>
      <c r="F49" s="489"/>
      <c r="G49" s="489"/>
      <c r="H49" s="489"/>
      <c r="I49" s="489"/>
      <c r="J49" s="489"/>
      <c r="K49" s="489"/>
      <c r="L49" s="489"/>
      <c r="M49" s="489"/>
      <c r="N49" s="489"/>
      <c r="O49" s="489"/>
      <c r="P49" s="489"/>
      <c r="Q49" s="489"/>
      <c r="R49" s="489"/>
    </row>
    <row r="50" spans="1:18" s="62" customFormat="1" ht="9" customHeight="1" x14ac:dyDescent="0.15">
      <c r="A50" s="121" t="s">
        <v>102</v>
      </c>
      <c r="B50" s="366" t="s">
        <v>1224</v>
      </c>
      <c r="C50" s="123"/>
      <c r="D50" s="123"/>
      <c r="E50" s="123"/>
      <c r="F50" s="123"/>
      <c r="G50" s="123"/>
      <c r="H50" s="123"/>
      <c r="I50" s="123"/>
      <c r="J50" s="123"/>
      <c r="K50" s="123"/>
      <c r="L50" s="123"/>
      <c r="M50" s="123"/>
      <c r="P50" s="61"/>
      <c r="Q50" s="61"/>
      <c r="R50" s="63"/>
    </row>
    <row r="51" spans="1:18" s="62" customFormat="1" ht="9" customHeight="1" x14ac:dyDescent="0.15">
      <c r="A51" s="121" t="s">
        <v>103</v>
      </c>
      <c r="B51" s="62" t="s">
        <v>1191</v>
      </c>
      <c r="C51" s="63"/>
      <c r="D51" s="63"/>
      <c r="E51" s="63"/>
      <c r="F51" s="63"/>
      <c r="G51" s="63"/>
      <c r="H51" s="63"/>
      <c r="I51" s="64"/>
      <c r="J51" s="63"/>
      <c r="K51" s="63"/>
      <c r="L51" s="63"/>
      <c r="M51" s="63"/>
      <c r="P51" s="61"/>
      <c r="Q51" s="61"/>
      <c r="R51" s="63"/>
    </row>
    <row r="52" spans="1:18" s="62" customFormat="1" ht="9" x14ac:dyDescent="0.15">
      <c r="A52" s="121" t="s">
        <v>63</v>
      </c>
      <c r="B52" s="116" t="s">
        <v>1266</v>
      </c>
      <c r="C52" s="63"/>
      <c r="D52" s="63"/>
      <c r="E52" s="63"/>
      <c r="F52" s="63"/>
      <c r="G52" s="63"/>
      <c r="H52" s="63"/>
      <c r="I52" s="64"/>
      <c r="J52" s="63"/>
      <c r="K52" s="63"/>
      <c r="L52" s="63"/>
      <c r="M52" s="63"/>
      <c r="P52" s="61"/>
      <c r="Q52" s="61"/>
      <c r="R52" s="63"/>
    </row>
    <row r="53" spans="1:18" s="62" customFormat="1" ht="9" customHeight="1" x14ac:dyDescent="0.15">
      <c r="A53" s="121" t="s">
        <v>104</v>
      </c>
      <c r="B53" s="116" t="s">
        <v>108</v>
      </c>
      <c r="C53" s="63"/>
      <c r="D53" s="63"/>
      <c r="E53" s="63"/>
      <c r="F53" s="63"/>
      <c r="G53" s="63"/>
      <c r="H53" s="63"/>
      <c r="I53" s="64"/>
      <c r="J53" s="63"/>
      <c r="K53" s="63"/>
      <c r="L53" s="63"/>
      <c r="M53" s="63"/>
      <c r="P53" s="61"/>
      <c r="Q53" s="61"/>
      <c r="R53" s="63"/>
    </row>
    <row r="54" spans="1:18" s="62" customFormat="1" ht="9" x14ac:dyDescent="0.15">
      <c r="A54" s="121" t="s">
        <v>105</v>
      </c>
      <c r="B54" s="62" t="s">
        <v>841</v>
      </c>
      <c r="P54" s="61"/>
      <c r="Q54" s="61"/>
      <c r="R54" s="63"/>
    </row>
    <row r="55" spans="1:18" s="62" customFormat="1" ht="9" x14ac:dyDescent="0.15">
      <c r="A55" s="121" t="s">
        <v>107</v>
      </c>
      <c r="B55" s="62" t="s">
        <v>1158</v>
      </c>
      <c r="P55" s="61"/>
      <c r="Q55" s="61"/>
      <c r="R55" s="63"/>
    </row>
    <row r="56" spans="1:18" s="62" customFormat="1" ht="20.25" customHeight="1" x14ac:dyDescent="0.15">
      <c r="A56" s="121" t="s">
        <v>1160</v>
      </c>
      <c r="B56" s="489" t="s">
        <v>1268</v>
      </c>
      <c r="C56" s="489"/>
      <c r="D56" s="489"/>
      <c r="E56" s="489"/>
      <c r="F56" s="489"/>
      <c r="G56" s="489"/>
      <c r="H56" s="489"/>
      <c r="I56" s="489"/>
      <c r="J56" s="489"/>
      <c r="K56" s="489"/>
      <c r="L56" s="489"/>
      <c r="M56" s="489"/>
      <c r="N56" s="489"/>
      <c r="O56" s="489"/>
      <c r="P56" s="489"/>
      <c r="Q56" s="489"/>
      <c r="R56" s="489"/>
    </row>
    <row r="57" spans="1:18" s="62" customFormat="1" ht="20.25" customHeight="1" x14ac:dyDescent="0.15">
      <c r="A57" s="121" t="s">
        <v>1159</v>
      </c>
      <c r="B57" s="489" t="s">
        <v>1269</v>
      </c>
      <c r="C57" s="489"/>
      <c r="D57" s="489"/>
      <c r="E57" s="489"/>
      <c r="F57" s="489"/>
      <c r="G57" s="489"/>
      <c r="H57" s="489"/>
      <c r="I57" s="489"/>
      <c r="J57" s="489"/>
      <c r="K57" s="489"/>
      <c r="L57" s="489"/>
      <c r="M57" s="489"/>
      <c r="N57" s="489"/>
      <c r="O57" s="489"/>
      <c r="P57" s="489"/>
      <c r="Q57" s="489"/>
      <c r="R57" s="489"/>
    </row>
    <row r="58" spans="1:18" s="62" customFormat="1" ht="9" x14ac:dyDescent="0.15">
      <c r="A58" s="62" t="s">
        <v>1262</v>
      </c>
      <c r="B58" s="116" t="s">
        <v>1300</v>
      </c>
      <c r="C58" s="463"/>
      <c r="D58" s="463"/>
      <c r="E58" s="463"/>
      <c r="F58" s="463"/>
      <c r="G58" s="463"/>
      <c r="H58" s="463"/>
      <c r="I58" s="463"/>
      <c r="J58" s="463"/>
      <c r="K58" s="463"/>
      <c r="L58" s="463"/>
      <c r="M58" s="463"/>
      <c r="N58" s="463"/>
      <c r="O58" s="463"/>
      <c r="P58" s="463"/>
      <c r="Q58" s="463"/>
      <c r="R58" s="463"/>
    </row>
    <row r="59" spans="1:18" s="62" customFormat="1" ht="9" x14ac:dyDescent="0.15">
      <c r="B59" s="463"/>
      <c r="C59" s="463"/>
      <c r="D59" s="463"/>
      <c r="E59" s="463"/>
      <c r="F59" s="463"/>
      <c r="G59" s="463"/>
      <c r="H59" s="463"/>
      <c r="I59" s="463"/>
      <c r="J59" s="463"/>
      <c r="K59" s="463"/>
      <c r="L59" s="463"/>
      <c r="M59" s="463"/>
      <c r="N59" s="463"/>
      <c r="O59" s="463"/>
      <c r="P59" s="463"/>
      <c r="Q59" s="463"/>
      <c r="R59" s="463"/>
    </row>
    <row r="60" spans="1:18" s="62" customFormat="1" ht="9" x14ac:dyDescent="0.15">
      <c r="B60" s="463"/>
      <c r="C60" s="463"/>
      <c r="D60" s="463"/>
      <c r="E60" s="463"/>
      <c r="F60" s="463"/>
      <c r="G60" s="463"/>
      <c r="H60" s="463"/>
      <c r="I60" s="463"/>
      <c r="J60" s="463"/>
      <c r="K60" s="463"/>
      <c r="L60" s="463"/>
      <c r="M60" s="463"/>
      <c r="N60" s="463"/>
      <c r="O60" s="463"/>
      <c r="P60" s="463"/>
      <c r="Q60" s="463"/>
    </row>
    <row r="61" spans="1:18" s="62" customFormat="1" ht="9" x14ac:dyDescent="0.15">
      <c r="B61" s="489"/>
      <c r="C61" s="489"/>
      <c r="D61" s="489"/>
      <c r="E61" s="489"/>
      <c r="F61" s="489"/>
      <c r="G61" s="489"/>
      <c r="H61" s="489"/>
      <c r="I61" s="489"/>
      <c r="J61" s="489"/>
      <c r="K61" s="489"/>
      <c r="L61" s="489"/>
      <c r="M61" s="489"/>
      <c r="N61" s="489"/>
      <c r="O61" s="489"/>
      <c r="P61" s="489"/>
      <c r="Q61" s="489"/>
      <c r="R61" s="489"/>
    </row>
    <row r="62" spans="1:18" s="62" customFormat="1" ht="9" x14ac:dyDescent="0.15">
      <c r="C62" s="63"/>
      <c r="D62" s="63"/>
      <c r="E62" s="63"/>
      <c r="F62" s="63"/>
      <c r="G62" s="63"/>
      <c r="H62" s="63"/>
      <c r="I62" s="64"/>
      <c r="J62" s="63"/>
      <c r="K62" s="63"/>
      <c r="L62" s="63"/>
      <c r="M62" s="63"/>
      <c r="N62" s="63"/>
      <c r="O62" s="61"/>
      <c r="P62" s="61"/>
      <c r="Q62" s="61"/>
      <c r="R62" s="63"/>
    </row>
    <row r="63" spans="1:18" s="62" customFormat="1" ht="9" x14ac:dyDescent="0.15">
      <c r="C63" s="63"/>
      <c r="D63" s="63"/>
      <c r="E63" s="63"/>
      <c r="F63" s="63"/>
      <c r="G63" s="63"/>
      <c r="H63" s="63"/>
      <c r="I63" s="64"/>
      <c r="J63" s="63"/>
      <c r="K63" s="63"/>
      <c r="L63" s="63"/>
      <c r="M63" s="63"/>
      <c r="N63" s="63"/>
      <c r="O63" s="61"/>
      <c r="P63" s="61"/>
      <c r="Q63" s="61"/>
      <c r="R63" s="63"/>
    </row>
    <row r="64" spans="1:18" s="62" customFormat="1" ht="9" x14ac:dyDescent="0.15">
      <c r="C64" s="63"/>
      <c r="D64" s="63"/>
      <c r="E64" s="63"/>
      <c r="F64" s="63"/>
      <c r="G64" s="63"/>
      <c r="H64" s="63"/>
      <c r="I64" s="64"/>
      <c r="J64" s="63"/>
      <c r="K64" s="63"/>
      <c r="L64" s="63"/>
      <c r="M64" s="63"/>
      <c r="N64" s="63"/>
      <c r="O64" s="61"/>
      <c r="P64" s="61"/>
      <c r="Q64" s="61"/>
      <c r="R64" s="63"/>
    </row>
    <row r="65" spans="3:18" s="62" customFormat="1" ht="9" x14ac:dyDescent="0.15">
      <c r="C65" s="63"/>
      <c r="D65" s="63"/>
      <c r="E65" s="63"/>
      <c r="F65" s="63"/>
      <c r="G65" s="63"/>
      <c r="H65" s="63"/>
      <c r="I65" s="64"/>
      <c r="J65" s="63"/>
      <c r="K65" s="63"/>
      <c r="L65" s="63"/>
      <c r="M65" s="63"/>
      <c r="N65" s="63"/>
      <c r="O65" s="61"/>
      <c r="P65" s="61"/>
      <c r="Q65" s="61"/>
      <c r="R65" s="63"/>
    </row>
    <row r="66" spans="3:18" s="62" customFormat="1" ht="9" x14ac:dyDescent="0.15">
      <c r="C66" s="63"/>
      <c r="D66" s="63"/>
      <c r="E66" s="63"/>
      <c r="F66" s="63"/>
      <c r="G66" s="63"/>
      <c r="H66" s="63"/>
      <c r="I66" s="64"/>
      <c r="J66" s="63"/>
      <c r="K66" s="63"/>
      <c r="L66" s="63"/>
      <c r="M66" s="63"/>
      <c r="N66" s="63"/>
      <c r="O66" s="61"/>
      <c r="P66" s="61"/>
      <c r="Q66" s="61"/>
      <c r="R66" s="63"/>
    </row>
    <row r="67" spans="3:18" s="62" customFormat="1" ht="9" x14ac:dyDescent="0.15">
      <c r="C67" s="63"/>
      <c r="D67" s="63"/>
      <c r="E67" s="63"/>
      <c r="F67" s="63"/>
      <c r="G67" s="63"/>
      <c r="H67" s="63"/>
      <c r="I67" s="64"/>
      <c r="J67" s="63"/>
      <c r="K67" s="63"/>
      <c r="L67" s="63"/>
      <c r="M67" s="63"/>
      <c r="N67" s="63"/>
      <c r="O67" s="61"/>
      <c r="P67" s="61"/>
      <c r="Q67" s="61"/>
      <c r="R67" s="63"/>
    </row>
    <row r="68" spans="3:18" s="62" customFormat="1" ht="9" x14ac:dyDescent="0.15">
      <c r="C68" s="63"/>
      <c r="D68" s="63"/>
      <c r="E68" s="63"/>
      <c r="F68" s="63"/>
      <c r="G68" s="63"/>
      <c r="H68" s="63"/>
      <c r="I68" s="64"/>
      <c r="J68" s="63"/>
      <c r="K68" s="63"/>
      <c r="L68" s="63"/>
      <c r="M68" s="63"/>
      <c r="N68" s="63"/>
      <c r="O68" s="61"/>
      <c r="P68" s="61"/>
      <c r="Q68" s="61"/>
      <c r="R68" s="63"/>
    </row>
    <row r="69" spans="3:18" s="62" customFormat="1" ht="9" x14ac:dyDescent="0.15">
      <c r="C69" s="63"/>
      <c r="D69" s="63"/>
      <c r="E69" s="63"/>
      <c r="F69" s="63"/>
      <c r="G69" s="63"/>
      <c r="H69" s="63"/>
      <c r="I69" s="64"/>
      <c r="J69" s="63"/>
      <c r="K69" s="63"/>
      <c r="L69" s="63"/>
      <c r="M69" s="63"/>
      <c r="N69" s="63"/>
      <c r="O69" s="61"/>
      <c r="P69" s="61"/>
      <c r="Q69" s="61"/>
      <c r="R69" s="63"/>
    </row>
    <row r="70" spans="3:18" s="62" customFormat="1" ht="9" x14ac:dyDescent="0.15">
      <c r="C70" s="63"/>
      <c r="D70" s="63"/>
      <c r="E70" s="63"/>
      <c r="F70" s="63"/>
      <c r="G70" s="63"/>
      <c r="H70" s="63"/>
      <c r="I70" s="64"/>
      <c r="J70" s="63"/>
      <c r="K70" s="63"/>
      <c r="L70" s="63"/>
      <c r="M70" s="63"/>
      <c r="N70" s="63"/>
      <c r="O70" s="61"/>
      <c r="P70" s="61"/>
      <c r="Q70" s="61"/>
      <c r="R70" s="63"/>
    </row>
    <row r="71" spans="3:18" s="62" customFormat="1" ht="9" x14ac:dyDescent="0.15">
      <c r="C71" s="63"/>
      <c r="D71" s="63"/>
      <c r="E71" s="63"/>
      <c r="F71" s="63"/>
      <c r="G71" s="63"/>
      <c r="H71" s="63"/>
      <c r="I71" s="64"/>
      <c r="J71" s="63"/>
      <c r="K71" s="63"/>
      <c r="L71" s="63"/>
      <c r="M71" s="63"/>
      <c r="N71" s="63"/>
      <c r="O71" s="61"/>
      <c r="P71" s="61"/>
      <c r="Q71" s="61"/>
      <c r="R71" s="63"/>
    </row>
    <row r="72" spans="3:18" s="62" customFormat="1" ht="9" x14ac:dyDescent="0.15">
      <c r="C72" s="63"/>
      <c r="D72" s="63"/>
      <c r="E72" s="63"/>
      <c r="F72" s="63"/>
      <c r="G72" s="63"/>
      <c r="H72" s="63"/>
      <c r="I72" s="64"/>
      <c r="J72" s="63"/>
      <c r="K72" s="63"/>
      <c r="L72" s="63"/>
      <c r="M72" s="63"/>
      <c r="N72" s="63"/>
      <c r="O72" s="61"/>
      <c r="P72" s="61"/>
      <c r="Q72" s="61"/>
      <c r="R72" s="63"/>
    </row>
    <row r="73" spans="3:18" s="62" customFormat="1" ht="9" x14ac:dyDescent="0.15">
      <c r="C73" s="63"/>
      <c r="D73" s="63"/>
      <c r="E73" s="63"/>
      <c r="F73" s="63"/>
      <c r="G73" s="63"/>
      <c r="H73" s="63"/>
      <c r="I73" s="64"/>
      <c r="J73" s="63"/>
      <c r="K73" s="63"/>
      <c r="L73" s="63"/>
      <c r="M73" s="63"/>
      <c r="N73" s="63"/>
      <c r="O73" s="61"/>
      <c r="P73" s="61"/>
      <c r="Q73" s="61"/>
      <c r="R73" s="63"/>
    </row>
    <row r="74" spans="3:18" s="62" customFormat="1" ht="9" x14ac:dyDescent="0.15">
      <c r="C74" s="63"/>
      <c r="D74" s="63"/>
      <c r="E74" s="63"/>
      <c r="F74" s="63"/>
      <c r="G74" s="63"/>
      <c r="H74" s="63"/>
      <c r="I74" s="64"/>
      <c r="J74" s="63"/>
      <c r="K74" s="63"/>
      <c r="L74" s="63"/>
      <c r="M74" s="63"/>
      <c r="N74" s="63"/>
      <c r="O74" s="61"/>
      <c r="P74" s="61"/>
      <c r="Q74" s="61"/>
      <c r="R74" s="63"/>
    </row>
    <row r="75" spans="3:18" s="62" customFormat="1" ht="9" x14ac:dyDescent="0.15">
      <c r="C75" s="63"/>
      <c r="D75" s="63"/>
      <c r="E75" s="63"/>
      <c r="F75" s="63"/>
      <c r="G75" s="63"/>
      <c r="H75" s="63"/>
      <c r="I75" s="64"/>
      <c r="J75" s="63"/>
      <c r="K75" s="63"/>
      <c r="L75" s="63"/>
      <c r="M75" s="63"/>
      <c r="N75" s="63"/>
      <c r="O75" s="61"/>
      <c r="P75" s="61"/>
      <c r="Q75" s="61"/>
      <c r="R75" s="63"/>
    </row>
    <row r="76" spans="3:18" s="62" customFormat="1" ht="9" x14ac:dyDescent="0.15">
      <c r="C76" s="63"/>
      <c r="D76" s="63"/>
      <c r="E76" s="63"/>
      <c r="F76" s="63"/>
      <c r="G76" s="63"/>
      <c r="H76" s="63"/>
      <c r="I76" s="64"/>
      <c r="J76" s="63"/>
      <c r="K76" s="63"/>
      <c r="L76" s="63"/>
      <c r="M76" s="63"/>
      <c r="N76" s="63"/>
      <c r="O76" s="61"/>
      <c r="P76" s="61"/>
      <c r="Q76" s="61"/>
      <c r="R76" s="63"/>
    </row>
    <row r="77" spans="3:18" s="62" customFormat="1" ht="9" x14ac:dyDescent="0.15">
      <c r="C77" s="63"/>
      <c r="D77" s="63"/>
      <c r="E77" s="63"/>
      <c r="F77" s="63"/>
      <c r="G77" s="63"/>
      <c r="H77" s="63"/>
      <c r="I77" s="64"/>
      <c r="J77" s="63"/>
      <c r="K77" s="63"/>
      <c r="L77" s="63"/>
      <c r="M77" s="63"/>
      <c r="N77" s="63"/>
      <c r="O77" s="61"/>
      <c r="P77" s="61"/>
      <c r="Q77" s="61"/>
      <c r="R77" s="63"/>
    </row>
    <row r="78" spans="3:18" s="62" customFormat="1" x14ac:dyDescent="0.2">
      <c r="C78" s="63"/>
      <c r="D78" s="63"/>
      <c r="E78" s="63"/>
      <c r="F78" s="63"/>
      <c r="G78" s="63"/>
      <c r="H78" s="63"/>
      <c r="I78" s="64"/>
      <c r="J78" s="63"/>
      <c r="K78" s="63"/>
      <c r="L78" s="63"/>
      <c r="M78" s="63"/>
      <c r="N78" s="63"/>
      <c r="O78" s="61"/>
      <c r="P78" s="61"/>
      <c r="Q78" s="61"/>
      <c r="R78" s="58"/>
    </row>
    <row r="79" spans="3:18" s="62" customFormat="1" x14ac:dyDescent="0.2">
      <c r="C79" s="63"/>
      <c r="D79" s="63"/>
      <c r="E79" s="63"/>
      <c r="F79" s="63"/>
      <c r="G79" s="58"/>
      <c r="H79" s="63"/>
      <c r="I79" s="64"/>
      <c r="J79" s="58"/>
      <c r="K79" s="63"/>
      <c r="L79" s="63"/>
      <c r="M79" s="63"/>
      <c r="N79" s="63"/>
      <c r="O79" s="61"/>
      <c r="P79" s="61"/>
      <c r="Q79" s="61"/>
      <c r="R79" s="58"/>
    </row>
    <row r="80" spans="3:18" x14ac:dyDescent="0.2">
      <c r="P80" s="61"/>
      <c r="Q80" s="61"/>
    </row>
    <row r="81" spans="16:17" x14ac:dyDescent="0.2">
      <c r="P81" s="61"/>
      <c r="Q81" s="61"/>
    </row>
  </sheetData>
  <mergeCells count="21">
    <mergeCell ref="B61:R61"/>
    <mergeCell ref="C29:D29"/>
    <mergeCell ref="C30:D30"/>
    <mergeCell ref="C31:D31"/>
    <mergeCell ref="C36:D36"/>
    <mergeCell ref="C37:D37"/>
    <mergeCell ref="B43:R43"/>
    <mergeCell ref="B49:R49"/>
    <mergeCell ref="B48:S48"/>
    <mergeCell ref="B46:S46"/>
    <mergeCell ref="B57:R57"/>
    <mergeCell ref="B56:R56"/>
    <mergeCell ref="C28:D28"/>
    <mergeCell ref="B1:R1"/>
    <mergeCell ref="B2:R2"/>
    <mergeCell ref="C4:D4"/>
    <mergeCell ref="C5:D5"/>
    <mergeCell ref="C12:D12"/>
    <mergeCell ref="C13:D13"/>
    <mergeCell ref="C23:D23"/>
    <mergeCell ref="C24:D24"/>
  </mergeCells>
  <pageMargins left="0.25" right="0.25" top="0.5" bottom="0.5" header="0.5" footer="0.5"/>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Annual Controller Detail</vt:lpstr>
      <vt:lpstr>Capital O&amp;M</vt:lpstr>
      <vt:lpstr>Labor Data</vt:lpstr>
      <vt:lpstr>Other Cost Basis</vt:lpstr>
      <vt:lpstr>Controllers NSPS acreage</vt:lpstr>
      <vt:lpstr>Annual # of Respondants</vt:lpstr>
      <vt:lpstr>BURDEN SUMMARY</vt:lpstr>
      <vt:lpstr>Respondent Yr1</vt:lpstr>
      <vt:lpstr>1.A-Public</vt:lpstr>
      <vt:lpstr>1.B-Priv</vt:lpstr>
      <vt:lpstr>Respondent Yr2</vt:lpstr>
      <vt:lpstr>2.A-Public</vt:lpstr>
      <vt:lpstr>2.B-Priv</vt:lpstr>
      <vt:lpstr>Respondent Yr3</vt:lpstr>
      <vt:lpstr>3.A-Public</vt:lpstr>
      <vt:lpstr>3.B-Priv</vt:lpstr>
      <vt:lpstr>Agency Base Data</vt:lpstr>
      <vt:lpstr>1.C-Fed</vt:lpstr>
      <vt:lpstr>2.C-Fed</vt:lpstr>
      <vt:lpstr>3.C-Fed</vt:lpstr>
      <vt:lpstr>FY15 GSA Rate</vt:lpstr>
      <vt:lpstr>'Labor Data'!_ftnref1</vt:lpstr>
      <vt:lpstr>'Labor Data'!_Ref354565577</vt:lpstr>
      <vt:lpstr>'1.A-Public'!Print_Area</vt:lpstr>
      <vt:lpstr>'1.B-Priv'!Print_Area</vt:lpstr>
      <vt:lpstr>'1.C-Fed'!Print_Area</vt:lpstr>
      <vt:lpstr>'2.A-Public'!Print_Area</vt:lpstr>
      <vt:lpstr>'2.B-Priv'!Print_Area</vt:lpstr>
      <vt:lpstr>'2.C-Fed'!Print_Area</vt:lpstr>
      <vt:lpstr>'3.A-Public'!Print_Area</vt:lpstr>
      <vt:lpstr>'3.B-Priv'!Print_Area</vt:lpstr>
      <vt:lpstr>'3.C-Fed'!Print_Area</vt:lpstr>
      <vt:lpstr>'Respondent Yr1'!Print_Area</vt:lpstr>
      <vt:lpstr>'Respondent Yr2'!Print_Area</vt:lpstr>
      <vt:lpstr>'Respondent Yr3'!Print_Area</vt:lpstr>
      <vt:lpstr>'1.A-Public'!Print_Titles</vt:lpstr>
      <vt:lpstr>'1.B-Priv'!Print_Titles</vt:lpstr>
      <vt:lpstr>'2.A-Public'!Print_Titles</vt:lpstr>
      <vt:lpstr>'2.B-Priv'!Print_Titles</vt:lpstr>
      <vt:lpstr>'3.A-Public'!Print_Titles</vt:lpstr>
      <vt:lpstr>'3.B-Priv'!Print_Titles</vt:lpstr>
      <vt:lpstr>'Respondent Yr1'!Print_Titles</vt:lpstr>
      <vt:lpstr>'Respondent Yr2'!Print_Titles</vt:lpstr>
      <vt:lpstr>'Respondent Yr3'!Print_Titles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ASingleton</dc:creator>
  <cp:lastModifiedBy>Courtney Kerwin</cp:lastModifiedBy>
  <cp:lastPrinted>2015-05-27T12:47:04Z</cp:lastPrinted>
  <dcterms:created xsi:type="dcterms:W3CDTF">2014-03-24T13:25:26Z</dcterms:created>
  <dcterms:modified xsi:type="dcterms:W3CDTF">2018-02-09T12:22:11Z</dcterms:modified>
</cp:coreProperties>
</file>