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asky\Desktop\Temp\"/>
    </mc:Choice>
  </mc:AlternateContent>
  <xr:revisionPtr revIDLastSave="0" documentId="8_{B12F83AD-1725-49E7-ABDE-73D2BACC68AC}" xr6:coauthVersionLast="32" xr6:coauthVersionMax="32" xr10:uidLastSave="{00000000-0000-0000-0000-000000000000}"/>
  <bookViews>
    <workbookView xWindow="0" yWindow="60" windowWidth="19200" windowHeight="63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K7" i="1" s="1"/>
  <c r="M7" i="1" s="1"/>
  <c r="O7" i="1" s="1"/>
  <c r="F19" i="1"/>
  <c r="H7" i="1" l="1"/>
  <c r="J7" i="1" s="1"/>
  <c r="P7" i="1" s="1"/>
  <c r="R7" i="1" s="1"/>
  <c r="E29" i="1"/>
  <c r="F28" i="1"/>
  <c r="K28" i="1" s="1"/>
  <c r="M28" i="1" s="1"/>
  <c r="O28" i="1" s="1"/>
  <c r="F22" i="1"/>
  <c r="E21" i="1"/>
  <c r="F20" i="1"/>
  <c r="K20" i="1" s="1"/>
  <c r="M20" i="1" s="1"/>
  <c r="O20" i="1" s="1"/>
  <c r="K19" i="1"/>
  <c r="M19" i="1" s="1"/>
  <c r="O19" i="1" s="1"/>
  <c r="H19" i="1"/>
  <c r="J19" i="1" s="1"/>
  <c r="E15" i="1"/>
  <c r="E11" i="1"/>
  <c r="E10" i="1"/>
  <c r="F9" i="1"/>
  <c r="K9" i="1" s="1"/>
  <c r="F8" i="1"/>
  <c r="K8" i="1" s="1"/>
  <c r="M8" i="1" s="1"/>
  <c r="O8" i="1" s="1"/>
  <c r="F6" i="1"/>
  <c r="K6" i="1" s="1"/>
  <c r="M6" i="1" s="1"/>
  <c r="O6" i="1" s="1"/>
  <c r="F5" i="1"/>
  <c r="F4" i="1"/>
  <c r="K4" i="1" s="1"/>
  <c r="M4" i="1" s="1"/>
  <c r="K22" i="1" l="1"/>
  <c r="H20" i="1"/>
  <c r="J20" i="1" s="1"/>
  <c r="M9" i="1"/>
  <c r="O9" i="1" s="1"/>
  <c r="K29" i="1"/>
  <c r="F29" i="1"/>
  <c r="P20" i="1"/>
  <c r="R20" i="1" s="1"/>
  <c r="O4" i="1"/>
  <c r="M22" i="1"/>
  <c r="O22" i="1" s="1"/>
  <c r="E23" i="1"/>
  <c r="P19" i="1"/>
  <c r="R19" i="1" s="1"/>
  <c r="H5" i="1"/>
  <c r="J5" i="1" s="1"/>
  <c r="H8" i="1"/>
  <c r="J8" i="1" s="1"/>
  <c r="P8" i="1" s="1"/>
  <c r="R8" i="1" s="1"/>
  <c r="H22" i="1"/>
  <c r="J22" i="1" s="1"/>
  <c r="F11" i="1"/>
  <c r="H4" i="1"/>
  <c r="H6" i="1"/>
  <c r="J6" i="1" s="1"/>
  <c r="P6" i="1" s="1"/>
  <c r="R6" i="1" s="1"/>
  <c r="H9" i="1"/>
  <c r="J9" i="1" s="1"/>
  <c r="F10" i="1"/>
  <c r="H10" i="1" s="1"/>
  <c r="J10" i="1" s="1"/>
  <c r="K5" i="1"/>
  <c r="M5" i="1" s="1"/>
  <c r="O5" i="1" s="1"/>
  <c r="H28" i="1"/>
  <c r="J28" i="1" s="1"/>
  <c r="P28" i="1" s="1"/>
  <c r="R28" i="1" s="1"/>
  <c r="P9" i="1" l="1"/>
  <c r="R9" i="1" s="1"/>
  <c r="K11" i="1"/>
  <c r="M11" i="1" s="1"/>
  <c r="O11" i="1" s="1"/>
  <c r="J4" i="1"/>
  <c r="F23" i="1"/>
  <c r="P22" i="1"/>
  <c r="R22" i="1" s="1"/>
  <c r="P5" i="1"/>
  <c r="R5" i="1" s="1"/>
  <c r="K10" i="1"/>
  <c r="M10" i="1" s="1"/>
  <c r="O10" i="1" s="1"/>
  <c r="H11" i="1"/>
  <c r="J11" i="1" s="1"/>
  <c r="K23" i="1" l="1"/>
  <c r="M23" i="1" s="1"/>
  <c r="O23" i="1" s="1"/>
  <c r="P10" i="1"/>
  <c r="R10" i="1" s="1"/>
  <c r="E12" i="1"/>
  <c r="F12" i="1" s="1"/>
  <c r="P11" i="1"/>
  <c r="R11" i="1" s="1"/>
  <c r="P4" i="1"/>
  <c r="H23" i="1"/>
  <c r="J23" i="1" s="1"/>
  <c r="P23" i="1" s="1"/>
  <c r="R23" i="1" s="1"/>
  <c r="E24" i="1" l="1"/>
  <c r="F24" i="1" s="1"/>
  <c r="F21" i="1" s="1"/>
  <c r="R4" i="1"/>
  <c r="H12" i="1"/>
  <c r="J12" i="1" s="1"/>
  <c r="K12" i="1"/>
  <c r="H24" i="1" l="1"/>
  <c r="J24" i="1" s="1"/>
  <c r="E25" i="1"/>
  <c r="K24" i="1"/>
  <c r="M24" i="1" s="1"/>
  <c r="O24" i="1" s="1"/>
  <c r="M12" i="1"/>
  <c r="O12" i="1" s="1"/>
  <c r="P12" i="1" s="1"/>
  <c r="R12" i="1" s="1"/>
  <c r="E13" i="1"/>
  <c r="P24" i="1" l="1"/>
  <c r="R24" i="1" s="1"/>
  <c r="F13" i="1"/>
  <c r="F25" i="1"/>
  <c r="K25" i="1" s="1"/>
  <c r="M25" i="1" s="1"/>
  <c r="O25" i="1" s="1"/>
  <c r="H21" i="1"/>
  <c r="J21" i="1" s="1"/>
  <c r="K21" i="1"/>
  <c r="M21" i="1" s="1"/>
  <c r="O21" i="1" s="1"/>
  <c r="K13" i="1" l="1"/>
  <c r="M13" i="1" s="1"/>
  <c r="O13" i="1" s="1"/>
  <c r="E14" i="1"/>
  <c r="H25" i="1"/>
  <c r="J25" i="1" s="1"/>
  <c r="P25" i="1" s="1"/>
  <c r="R25" i="1" s="1"/>
  <c r="E26" i="1"/>
  <c r="H13" i="1"/>
  <c r="J13" i="1" s="1"/>
  <c r="P13" i="1" s="1"/>
  <c r="R13" i="1" s="1"/>
  <c r="P21" i="1"/>
  <c r="R21" i="1" s="1"/>
  <c r="F26" i="1" l="1"/>
  <c r="H26" i="1" s="1"/>
  <c r="J26" i="1" s="1"/>
  <c r="F14" i="1"/>
  <c r="K14" i="1" l="1"/>
  <c r="M14" i="1" s="1"/>
  <c r="O14" i="1" s="1"/>
  <c r="E16" i="1"/>
  <c r="K26" i="1"/>
  <c r="H14" i="1"/>
  <c r="F15" i="1"/>
  <c r="H15" i="1" s="1"/>
  <c r="J15" i="1" s="1"/>
  <c r="E18" i="1"/>
  <c r="P15" i="1" l="1"/>
  <c r="R15" i="1" s="1"/>
  <c r="F18" i="1"/>
  <c r="H18" i="1" s="1"/>
  <c r="J18" i="1" s="1"/>
  <c r="K15" i="1"/>
  <c r="M15" i="1" s="1"/>
  <c r="O15" i="1" s="1"/>
  <c r="E27" i="1"/>
  <c r="M26" i="1"/>
  <c r="O26" i="1" s="1"/>
  <c r="P26" i="1" s="1"/>
  <c r="R26" i="1" s="1"/>
  <c r="F16" i="1"/>
  <c r="H16" i="1" s="1"/>
  <c r="J16" i="1" s="1"/>
  <c r="K16" i="1"/>
  <c r="J14" i="1"/>
  <c r="F27" i="1" l="1"/>
  <c r="H27" i="1" s="1"/>
  <c r="J27" i="1" s="1"/>
  <c r="P14" i="1"/>
  <c r="E17" i="1"/>
  <c r="M16" i="1"/>
  <c r="O16" i="1" s="1"/>
  <c r="P16" i="1"/>
  <c r="R16" i="1" s="1"/>
  <c r="K18" i="1"/>
  <c r="M18" i="1" s="1"/>
  <c r="O18" i="1" s="1"/>
  <c r="P18" i="1" s="1"/>
  <c r="R18" i="1" s="1"/>
  <c r="K27" i="1" l="1"/>
  <c r="M27" i="1" s="1"/>
  <c r="O27" i="1" s="1"/>
  <c r="P27" i="1" s="1"/>
  <c r="R27" i="1" s="1"/>
  <c r="R14" i="1"/>
  <c r="F17" i="1"/>
  <c r="H17" i="1" s="1"/>
  <c r="K17" i="1" l="1"/>
  <c r="M17" i="1" s="1"/>
  <c r="O17" i="1" s="1"/>
  <c r="J17" i="1"/>
  <c r="H29" i="1"/>
  <c r="G29" i="1" s="1"/>
  <c r="J29" i="1" l="1"/>
  <c r="I29" i="1" s="1"/>
  <c r="O29" i="1"/>
  <c r="M29" i="1"/>
  <c r="L29" i="1" s="1"/>
  <c r="N29" i="1" l="1"/>
  <c r="P17" i="1"/>
  <c r="R17" i="1" s="1"/>
  <c r="R29" i="1" s="1"/>
  <c r="P29" i="1" l="1"/>
</calcChain>
</file>

<file path=xl/sharedStrings.xml><?xml version="1.0" encoding="utf-8"?>
<sst xmlns="http://schemas.openxmlformats.org/spreadsheetml/2006/main" count="80" uniqueCount="75">
  <si>
    <t>Affected Public</t>
  </si>
  <si>
    <t>Respondent Type</t>
  </si>
  <si>
    <t>Data Collection Activity</t>
  </si>
  <si>
    <t>Original Sample Size</t>
  </si>
  <si>
    <t>Responsive</t>
  </si>
  <si>
    <t>Non-Responsive</t>
  </si>
  <si>
    <t>Estimated Total Annual Hour Burden</t>
  </si>
  <si>
    <t>Hourly Wage Rate</t>
  </si>
  <si>
    <t>Total Annualized Cost of Respondent Burden</t>
  </si>
  <si>
    <t>Appendix</t>
  </si>
  <si>
    <t>Estimated Number of Respondents</t>
  </si>
  <si>
    <t>Frequency of Response</t>
  </si>
  <si>
    <t>Estimated Total Annual Responses</t>
  </si>
  <si>
    <t>Hours Per Response</t>
  </si>
  <si>
    <t>Estimated Annual Burden (Hours)</t>
  </si>
  <si>
    <t>Estimated Number of Non-Respondents</t>
  </si>
  <si>
    <t>Estimated Total Annual Non-Responses</t>
  </si>
  <si>
    <t>Hours Per Non-Response</t>
  </si>
  <si>
    <t>SFA Directors</t>
  </si>
  <si>
    <t>D1</t>
  </si>
  <si>
    <t>Pre-Survey Notification Letter (Web Survey)</t>
  </si>
  <si>
    <t>Post-Survey Response Clarification Email (Web Survey)</t>
  </si>
  <si>
    <t>Post-Survey Thank You Email (Web Survey)</t>
  </si>
  <si>
    <t>C3</t>
  </si>
  <si>
    <t>D2</t>
  </si>
  <si>
    <t>E</t>
  </si>
  <si>
    <t>Total</t>
  </si>
  <si>
    <t>Pre-Interview Notification Letter (In-Depth Interview)</t>
  </si>
  <si>
    <t>Participant Confirmation Email (In-Depth Interview)</t>
  </si>
  <si>
    <t>Post-Interview Response Clarification Email (In-Depth Interview)</t>
  </si>
  <si>
    <t>Thank You Email for Participation in Study</t>
  </si>
  <si>
    <t>Email Notification to School Food Authority Directors</t>
  </si>
  <si>
    <t xml:space="preserve">Email Notification to State Child Nutrition Directors </t>
  </si>
  <si>
    <t>A2</t>
  </si>
  <si>
    <t>A3</t>
  </si>
  <si>
    <t>B1</t>
  </si>
  <si>
    <t>B2</t>
  </si>
  <si>
    <t xml:space="preserve">Study of School Food Authority (SFA) Procurement Practices: Frequently Asked Questions – In-Depth Interview </t>
  </si>
  <si>
    <t>State Agencies</t>
  </si>
  <si>
    <t>Email Notification from Regional Offices to State Child Nutrition Directors</t>
  </si>
  <si>
    <t>SFA Procurement Practices Web Survey (Data Collection)</t>
  </si>
  <si>
    <t>Study of School Food Authority (SFA) Procurement Practices: Frequently Asked Questions – Web Survey and In-Depth Interview</t>
  </si>
  <si>
    <t>Pretesting (Web Survey)</t>
  </si>
  <si>
    <t>Pretesting (In-Depth Interview)</t>
  </si>
  <si>
    <t>State Government</t>
  </si>
  <si>
    <t>Local Government</t>
  </si>
  <si>
    <t>―</t>
  </si>
  <si>
    <t>Total  Burden (State/Local Government only)</t>
  </si>
  <si>
    <t>C1.a</t>
  </si>
  <si>
    <t>C1.b</t>
  </si>
  <si>
    <t>C1.c</t>
  </si>
  <si>
    <t>C1.d</t>
  </si>
  <si>
    <t>C1.e</t>
  </si>
  <si>
    <t>C2.a</t>
  </si>
  <si>
    <t>C2.b</t>
  </si>
  <si>
    <t>C4.a</t>
  </si>
  <si>
    <t>C4.b</t>
  </si>
  <si>
    <t>C4.c</t>
  </si>
  <si>
    <t>C4.d</t>
  </si>
  <si>
    <t>C5.a</t>
  </si>
  <si>
    <t>C5.b</t>
  </si>
  <si>
    <t>Appendix G1. Estimates of Respondent Burden</t>
  </si>
  <si>
    <t xml:space="preserve">Note: For the total in the column labeled "Estimated number of non-respondents," only those who will never respond are included in the total. </t>
  </si>
  <si>
    <t>Note:The 8 IDI pretesters were a subset of the 9 survey pretesters.</t>
  </si>
  <si>
    <t>Survey Notification Email (Web Survey with Link)</t>
  </si>
  <si>
    <t>Survey Reminder Email 1 (Web Survey with Link)</t>
  </si>
  <si>
    <t>Survey Reminder Email 2 (Web Survey with Link)</t>
  </si>
  <si>
    <t>SFA Procurement Practices In-Depth Interview Guide (Data Collection)</t>
  </si>
  <si>
    <t>Pre-Interview Reminder Email (In-Depth Interview)</t>
  </si>
  <si>
    <t>SFA Director Telephone Reminder Script (Web Survey)</t>
  </si>
  <si>
    <t>Post-Survey Response Clarification Phone Call Script (Web Survey)</t>
  </si>
  <si>
    <t>Pre-Interview Scheduling Phone Call Script (In-Depth Interview), first attempt</t>
  </si>
  <si>
    <t>Pre-Interview Scheduling Phone Call Script (In-Depth Interview), second attempt</t>
  </si>
  <si>
    <t>Post-Interview Response Clarification Phone Call Script (In-Depth Interview)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</si>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</sst>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FBE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4" borderId="8" xfId="0" applyFont="1" applyFill="1" applyBorder="1" applyAlignment="1">
      <alignment wrapText="1"/>
    </xf>
    <xf numFmtId="0" fontId="3" fillId="4" borderId="10" xfId="0" applyFont="1" applyFill="1" applyBorder="1" applyAlignment="1">
      <alignment horizontal="center" wrapText="1"/>
    </xf>
    <xf numFmtId="2" fontId="4" fillId="4" borderId="10" xfId="0" applyNumberFormat="1" applyFont="1" applyFill="1" applyBorder="1" applyAlignment="1">
      <alignment horizontal="right" wrapText="1"/>
    </xf>
    <xf numFmtId="0" fontId="4" fillId="4" borderId="10" xfId="0" applyFont="1" applyFill="1" applyBorder="1" applyAlignment="1">
      <alignment horizontal="center" wrapText="1"/>
    </xf>
    <xf numFmtId="2" fontId="3" fillId="4" borderId="10" xfId="0" applyNumberFormat="1" applyFont="1" applyFill="1" applyBorder="1" applyAlignment="1">
      <alignment horizontal="right" wrapText="1"/>
    </xf>
    <xf numFmtId="0" fontId="3" fillId="4" borderId="11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wrapText="1"/>
    </xf>
    <xf numFmtId="0" fontId="3" fillId="4" borderId="9" xfId="0" applyFont="1" applyFill="1" applyBorder="1"/>
    <xf numFmtId="0" fontId="3" fillId="4" borderId="16" xfId="0" applyFont="1" applyFill="1" applyBorder="1"/>
    <xf numFmtId="0" fontId="3" fillId="4" borderId="17" xfId="0" applyFont="1" applyFill="1" applyBorder="1" applyAlignment="1">
      <alignment horizontal="center"/>
    </xf>
    <xf numFmtId="0" fontId="3" fillId="4" borderId="17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2" fontId="3" fillId="4" borderId="21" xfId="0" applyNumberFormat="1" applyFont="1" applyFill="1" applyBorder="1"/>
    <xf numFmtId="2" fontId="3" fillId="4" borderId="10" xfId="0" applyNumberFormat="1" applyFont="1" applyFill="1" applyBorder="1"/>
    <xf numFmtId="2" fontId="3" fillId="4" borderId="12" xfId="0" applyNumberFormat="1" applyFont="1" applyFill="1" applyBorder="1"/>
    <xf numFmtId="2" fontId="3" fillId="4" borderId="17" xfId="0" applyNumberFormat="1" applyFont="1" applyFill="1" applyBorder="1"/>
    <xf numFmtId="3" fontId="2" fillId="0" borderId="15" xfId="0" applyNumberFormat="1" applyFont="1" applyBorder="1"/>
    <xf numFmtId="1" fontId="3" fillId="4" borderId="10" xfId="0" applyNumberFormat="1" applyFont="1" applyFill="1" applyBorder="1"/>
    <xf numFmtId="0" fontId="3" fillId="0" borderId="10" xfId="0" applyFont="1" applyFill="1" applyBorder="1" applyAlignment="1">
      <alignment horizontal="center" wrapText="1"/>
    </xf>
    <xf numFmtId="2" fontId="3" fillId="0" borderId="10" xfId="0" applyNumberFormat="1" applyFont="1" applyFill="1" applyBorder="1" applyAlignment="1">
      <alignment horizontal="right" wrapText="1"/>
    </xf>
    <xf numFmtId="2" fontId="3" fillId="4" borderId="18" xfId="0" applyNumberFormat="1" applyFont="1" applyFill="1" applyBorder="1"/>
    <xf numFmtId="2" fontId="4" fillId="0" borderId="10" xfId="0" applyNumberFormat="1" applyFont="1" applyFill="1" applyBorder="1" applyAlignment="1">
      <alignment horizontal="right" wrapText="1"/>
    </xf>
    <xf numFmtId="0" fontId="5" fillId="4" borderId="8" xfId="0" applyFont="1" applyFill="1" applyBorder="1" applyAlignment="1">
      <alignment wrapText="1"/>
    </xf>
    <xf numFmtId="3" fontId="3" fillId="3" borderId="10" xfId="0" applyNumberFormat="1" applyFont="1" applyFill="1" applyBorder="1" applyAlignment="1">
      <alignment wrapText="1"/>
    </xf>
    <xf numFmtId="3" fontId="3" fillId="0" borderId="10" xfId="0" applyNumberFormat="1" applyFont="1" applyFill="1" applyBorder="1" applyAlignment="1">
      <alignment wrapText="1"/>
    </xf>
    <xf numFmtId="1" fontId="3" fillId="0" borderId="10" xfId="0" applyNumberFormat="1" applyFont="1" applyFill="1" applyBorder="1"/>
    <xf numFmtId="2" fontId="3" fillId="0" borderId="10" xfId="0" applyNumberFormat="1" applyFont="1" applyFill="1" applyBorder="1"/>
    <xf numFmtId="3" fontId="3" fillId="4" borderId="10" xfId="0" applyNumberFormat="1" applyFont="1" applyFill="1" applyBorder="1" applyAlignment="1">
      <alignment wrapText="1"/>
    </xf>
    <xf numFmtId="3" fontId="4" fillId="4" borderId="10" xfId="0" applyNumberFormat="1" applyFont="1" applyFill="1" applyBorder="1" applyAlignment="1">
      <alignment wrapText="1"/>
    </xf>
    <xf numFmtId="0" fontId="3" fillId="4" borderId="24" xfId="0" applyFont="1" applyFill="1" applyBorder="1" applyAlignment="1">
      <alignment wrapText="1"/>
    </xf>
    <xf numFmtId="3" fontId="4" fillId="4" borderId="18" xfId="0" applyNumberFormat="1" applyFont="1" applyFill="1" applyBorder="1" applyAlignment="1">
      <alignment wrapText="1"/>
    </xf>
    <xf numFmtId="0" fontId="3" fillId="4" borderId="18" xfId="0" applyFont="1" applyFill="1" applyBorder="1" applyAlignment="1">
      <alignment horizontal="center" wrapText="1"/>
    </xf>
    <xf numFmtId="1" fontId="3" fillId="4" borderId="18" xfId="0" applyNumberFormat="1" applyFont="1" applyFill="1" applyBorder="1"/>
    <xf numFmtId="2" fontId="3" fillId="4" borderId="18" xfId="0" applyNumberFormat="1" applyFont="1" applyFill="1" applyBorder="1" applyAlignment="1">
      <alignment horizontal="right" wrapText="1"/>
    </xf>
    <xf numFmtId="2" fontId="4" fillId="4" borderId="18" xfId="0" applyNumberFormat="1" applyFont="1" applyFill="1" applyBorder="1" applyAlignment="1">
      <alignment horizontal="right" wrapText="1"/>
    </xf>
    <xf numFmtId="3" fontId="2" fillId="0" borderId="15" xfId="0" applyNumberFormat="1" applyFont="1" applyBorder="1" applyAlignment="1">
      <alignment vertical="center" wrapText="1"/>
    </xf>
    <xf numFmtId="3" fontId="2" fillId="0" borderId="25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3" fontId="2" fillId="0" borderId="28" xfId="0" applyNumberFormat="1" applyFont="1" applyFill="1" applyBorder="1" applyAlignment="1">
      <alignment vertical="center" wrapText="1"/>
    </xf>
    <xf numFmtId="2" fontId="2" fillId="0" borderId="26" xfId="0" applyNumberFormat="1" applyFont="1" applyFill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right" vertical="center" wrapText="1"/>
    </xf>
    <xf numFmtId="4" fontId="2" fillId="0" borderId="30" xfId="0" applyNumberFormat="1" applyFont="1" applyFill="1" applyBorder="1" applyAlignment="1">
      <alignment horizontal="right" vertical="center" wrapText="1"/>
    </xf>
    <xf numFmtId="164" fontId="2" fillId="0" borderId="23" xfId="1" applyNumberFormat="1" applyFont="1" applyFill="1" applyBorder="1" applyAlignment="1"/>
    <xf numFmtId="2" fontId="3" fillId="4" borderId="20" xfId="0" applyNumberFormat="1" applyFont="1" applyFill="1" applyBorder="1"/>
    <xf numFmtId="2" fontId="3" fillId="0" borderId="20" xfId="0" applyNumberFormat="1" applyFont="1" applyFill="1" applyBorder="1"/>
    <xf numFmtId="0" fontId="5" fillId="4" borderId="16" xfId="0" applyFont="1" applyFill="1" applyBorder="1" applyAlignment="1">
      <alignment wrapText="1"/>
    </xf>
    <xf numFmtId="1" fontId="3" fillId="4" borderId="17" xfId="0" applyNumberFormat="1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1" fontId="3" fillId="4" borderId="5" xfId="0" applyNumberFormat="1" applyFont="1" applyFill="1" applyBorder="1"/>
    <xf numFmtId="2" fontId="3" fillId="4" borderId="5" xfId="0" applyNumberFormat="1" applyFont="1" applyFill="1" applyBorder="1"/>
    <xf numFmtId="2" fontId="3" fillId="4" borderId="6" xfId="0" applyNumberFormat="1" applyFont="1" applyFill="1" applyBorder="1"/>
    <xf numFmtId="4" fontId="6" fillId="0" borderId="1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textRotation="90" wrapText="1"/>
    </xf>
    <xf numFmtId="0" fontId="2" fillId="2" borderId="32" xfId="0" applyFont="1" applyFill="1" applyBorder="1" applyAlignment="1">
      <alignment horizontal="center" textRotation="90" wrapText="1"/>
    </xf>
    <xf numFmtId="0" fontId="2" fillId="2" borderId="33" xfId="0" applyFont="1" applyFill="1" applyBorder="1" applyAlignment="1">
      <alignment horizontal="center" textRotation="90" wrapText="1"/>
    </xf>
    <xf numFmtId="0" fontId="2" fillId="2" borderId="34" xfId="0" applyFont="1" applyFill="1" applyBorder="1" applyAlignment="1">
      <alignment horizontal="center" textRotation="90" wrapText="1"/>
    </xf>
    <xf numFmtId="0" fontId="2" fillId="2" borderId="35" xfId="0" applyFont="1" applyFill="1" applyBorder="1" applyAlignment="1">
      <alignment horizontal="center" textRotation="90" wrapText="1"/>
    </xf>
    <xf numFmtId="2" fontId="3" fillId="4" borderId="9" xfId="0" applyNumberFormat="1" applyFont="1" applyFill="1" applyBorder="1"/>
    <xf numFmtId="164" fontId="3" fillId="4" borderId="37" xfId="0" applyNumberFormat="1" applyFont="1" applyFill="1" applyBorder="1"/>
    <xf numFmtId="2" fontId="3" fillId="4" borderId="19" xfId="0" applyNumberFormat="1" applyFont="1" applyFill="1" applyBorder="1"/>
    <xf numFmtId="44" fontId="3" fillId="4" borderId="38" xfId="1" applyFont="1" applyFill="1" applyBorder="1"/>
    <xf numFmtId="164" fontId="3" fillId="4" borderId="39" xfId="0" applyNumberFormat="1" applyFont="1" applyFill="1" applyBorder="1"/>
    <xf numFmtId="0" fontId="3" fillId="4" borderId="36" xfId="0" applyFont="1" applyFill="1" applyBorder="1"/>
    <xf numFmtId="2" fontId="3" fillId="4" borderId="16" xfId="0" applyNumberFormat="1" applyFont="1" applyFill="1" applyBorder="1"/>
    <xf numFmtId="44" fontId="3" fillId="4" borderId="40" xfId="1" applyFont="1" applyFill="1" applyBorder="1"/>
    <xf numFmtId="164" fontId="3" fillId="4" borderId="41" xfId="0" applyNumberFormat="1" applyFont="1" applyFill="1" applyBorder="1"/>
    <xf numFmtId="0" fontId="3" fillId="4" borderId="40" xfId="0" applyFont="1" applyFill="1" applyBorder="1"/>
    <xf numFmtId="2" fontId="3" fillId="4" borderId="8" xfId="0" applyNumberFormat="1" applyFont="1" applyFill="1" applyBorder="1"/>
    <xf numFmtId="164" fontId="3" fillId="4" borderId="43" xfId="0" applyNumberFormat="1" applyFont="1" applyFill="1" applyBorder="1"/>
    <xf numFmtId="0" fontId="3" fillId="3" borderId="40" xfId="0" applyFont="1" applyFill="1" applyBorder="1" applyAlignment="1">
      <alignment wrapText="1"/>
    </xf>
    <xf numFmtId="2" fontId="3" fillId="0" borderId="8" xfId="0" applyNumberFormat="1" applyFont="1" applyFill="1" applyBorder="1"/>
    <xf numFmtId="164" fontId="3" fillId="0" borderId="43" xfId="1" applyNumberFormat="1" applyFont="1" applyFill="1" applyBorder="1" applyAlignment="1"/>
    <xf numFmtId="0" fontId="3" fillId="4" borderId="42" xfId="0" applyFont="1" applyFill="1" applyBorder="1" applyAlignment="1">
      <alignment wrapText="1"/>
    </xf>
    <xf numFmtId="164" fontId="3" fillId="4" borderId="43" xfId="1" applyNumberFormat="1" applyFont="1" applyFill="1" applyBorder="1" applyAlignment="1"/>
    <xf numFmtId="0" fontId="3" fillId="3" borderId="42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38" xfId="0" applyFont="1" applyFill="1" applyBorder="1" applyAlignment="1">
      <alignment wrapText="1"/>
    </xf>
    <xf numFmtId="164" fontId="3" fillId="4" borderId="39" xfId="1" applyNumberFormat="1" applyFont="1" applyFill="1" applyBorder="1" applyAlignment="1"/>
    <xf numFmtId="0" fontId="3" fillId="0" borderId="0" xfId="0" applyFont="1" applyAlignment="1"/>
    <xf numFmtId="0" fontId="3" fillId="4" borderId="42" xfId="0" applyFont="1" applyFill="1" applyBorder="1" applyAlignment="1"/>
    <xf numFmtId="0" fontId="3" fillId="0" borderId="46" xfId="0" applyFont="1" applyBorder="1" applyAlignment="1">
      <alignment horizontal="left" wrapText="1"/>
    </xf>
    <xf numFmtId="44" fontId="3" fillId="4" borderId="1" xfId="1" applyFont="1" applyFill="1" applyBorder="1"/>
    <xf numFmtId="0" fontId="4" fillId="4" borderId="10" xfId="0" applyFont="1" applyFill="1" applyBorder="1"/>
    <xf numFmtId="0" fontId="3" fillId="0" borderId="0" xfId="0" applyFont="1" applyAlignment="1">
      <alignment horizontal="left" wrapText="1"/>
    </xf>
    <xf numFmtId="0" fontId="2" fillId="0" borderId="22" xfId="0" applyFont="1" applyBorder="1" applyAlignment="1">
      <alignment horizont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topLeftCell="I1" zoomScaleNormal="100" workbookViewId="0">
      <pane ySplit="3" topLeftCell="A6" activePane="bottomLeft" state="frozen"/>
      <selection pane="bottomLeft" activeCell="E4" sqref="E1:P1048576"/>
    </sheetView>
  </sheetViews>
  <sheetFormatPr defaultColWidth="9.1796875" defaultRowHeight="12.5" x14ac:dyDescent="0.25"/>
  <cols>
    <col min="1" max="1" width="20.26953125" style="11" customWidth="1"/>
    <col min="2" max="2" width="21.26953125" style="9" customWidth="1"/>
    <col min="3" max="3" width="66" style="9" customWidth="1"/>
    <col min="4" max="4" width="10.81640625" style="9" customWidth="1"/>
    <col min="5" max="5" width="9.54296875" style="9" customWidth="1"/>
    <col min="6" max="6" width="8.26953125" style="9" customWidth="1"/>
    <col min="7" max="7" width="5.7265625" style="9" customWidth="1"/>
    <col min="8" max="8" width="7.453125" style="9" customWidth="1"/>
    <col min="9" max="9" width="5.7265625" style="9" customWidth="1"/>
    <col min="10" max="10" width="10.26953125" style="9" customWidth="1"/>
    <col min="11" max="11" width="6.81640625" style="9" customWidth="1"/>
    <col min="12" max="12" width="7.1796875" style="9" customWidth="1"/>
    <col min="13" max="13" width="7.26953125" style="9" customWidth="1"/>
    <col min="14" max="14" width="5.7265625" style="9" customWidth="1"/>
    <col min="15" max="15" width="6.81640625" style="9" customWidth="1"/>
    <col min="16" max="16" width="11.26953125" style="9" customWidth="1"/>
    <col min="17" max="17" width="9.1796875" style="9" customWidth="1"/>
    <col min="18" max="18" width="21.453125" style="9" customWidth="1"/>
    <col min="19" max="16384" width="9.1796875" style="9"/>
  </cols>
  <sheetData>
    <row r="1" spans="1:18" ht="24.75" customHeight="1" thickBot="1" x14ac:dyDescent="0.35">
      <c r="A1" s="97" t="s">
        <v>61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ht="15" customHeight="1" thickBot="1" x14ac:dyDescent="0.35">
      <c r="A2" s="101" t="s">
        <v>0</v>
      </c>
      <c r="B2" s="101" t="s">
        <v>1</v>
      </c>
      <c r="C2" s="106" t="s">
        <v>2</v>
      </c>
      <c r="D2" s="63"/>
      <c r="E2" s="101" t="s">
        <v>3</v>
      </c>
      <c r="F2" s="103" t="s">
        <v>4</v>
      </c>
      <c r="G2" s="104"/>
      <c r="H2" s="104"/>
      <c r="I2" s="104"/>
      <c r="J2" s="105"/>
      <c r="K2" s="103" t="s">
        <v>5</v>
      </c>
      <c r="L2" s="104"/>
      <c r="M2" s="104"/>
      <c r="N2" s="104"/>
      <c r="O2" s="105"/>
      <c r="P2" s="101" t="s">
        <v>6</v>
      </c>
      <c r="Q2" s="101" t="s">
        <v>7</v>
      </c>
      <c r="R2" s="101" t="s">
        <v>8</v>
      </c>
    </row>
    <row r="3" spans="1:18" ht="178.5" customHeight="1" thickBot="1" x14ac:dyDescent="0.3">
      <c r="A3" s="102"/>
      <c r="B3" s="102"/>
      <c r="C3" s="107"/>
      <c r="D3" s="64" t="s">
        <v>9</v>
      </c>
      <c r="E3" s="102"/>
      <c r="F3" s="65" t="s">
        <v>10</v>
      </c>
      <c r="G3" s="66" t="s">
        <v>11</v>
      </c>
      <c r="H3" s="66" t="s">
        <v>12</v>
      </c>
      <c r="I3" s="66" t="s">
        <v>13</v>
      </c>
      <c r="J3" s="67" t="s">
        <v>14</v>
      </c>
      <c r="K3" s="68" t="s">
        <v>15</v>
      </c>
      <c r="L3" s="66" t="s">
        <v>11</v>
      </c>
      <c r="M3" s="66" t="s">
        <v>16</v>
      </c>
      <c r="N3" s="66" t="s">
        <v>17</v>
      </c>
      <c r="O3" s="69" t="s">
        <v>14</v>
      </c>
      <c r="P3" s="102"/>
      <c r="Q3" s="102"/>
      <c r="R3" s="102"/>
    </row>
    <row r="4" spans="1:18" ht="12.75" customHeight="1" x14ac:dyDescent="0.25">
      <c r="A4" s="101" t="s">
        <v>44</v>
      </c>
      <c r="B4" s="108" t="s">
        <v>38</v>
      </c>
      <c r="C4" s="12" t="s">
        <v>39</v>
      </c>
      <c r="D4" s="12" t="s">
        <v>33</v>
      </c>
      <c r="E4" s="15">
        <v>51</v>
      </c>
      <c r="F4" s="15">
        <f>E4*1</f>
        <v>51</v>
      </c>
      <c r="G4" s="14">
        <v>1</v>
      </c>
      <c r="H4" s="55">
        <f>F4*G4</f>
        <v>51</v>
      </c>
      <c r="I4" s="15">
        <v>0.05</v>
      </c>
      <c r="J4" s="21">
        <f>H4*I4</f>
        <v>2.5500000000000003</v>
      </c>
      <c r="K4" s="55">
        <f>E4-F4</f>
        <v>0</v>
      </c>
      <c r="L4" s="14">
        <v>0</v>
      </c>
      <c r="M4" s="55">
        <f>K4*L4</f>
        <v>0</v>
      </c>
      <c r="N4" s="21">
        <v>0</v>
      </c>
      <c r="O4" s="18">
        <f>M4*N4</f>
        <v>0</v>
      </c>
      <c r="P4" s="70">
        <f>J4+O4</f>
        <v>2.5500000000000003</v>
      </c>
      <c r="Q4" s="94">
        <v>44.89</v>
      </c>
      <c r="R4" s="71">
        <f>P4*Q4</f>
        <v>114.46950000000001</v>
      </c>
    </row>
    <row r="5" spans="1:18" ht="15.75" customHeight="1" thickBot="1" x14ac:dyDescent="0.3">
      <c r="A5" s="110"/>
      <c r="B5" s="109"/>
      <c r="C5" s="56" t="s">
        <v>32</v>
      </c>
      <c r="D5" s="56" t="s">
        <v>34</v>
      </c>
      <c r="E5" s="57">
        <v>51</v>
      </c>
      <c r="F5" s="57">
        <f>E5*1</f>
        <v>51</v>
      </c>
      <c r="G5" s="58">
        <v>1</v>
      </c>
      <c r="H5" s="59">
        <f t="shared" ref="H5:H28" si="0">F5*G5</f>
        <v>51</v>
      </c>
      <c r="I5" s="57">
        <v>0.05</v>
      </c>
      <c r="J5" s="60">
        <f t="shared" ref="J5:J28" si="1">H5*I5</f>
        <v>2.5500000000000003</v>
      </c>
      <c r="K5" s="59">
        <f t="shared" ref="K5:K28" si="2">E5-F5</f>
        <v>0</v>
      </c>
      <c r="L5" s="58">
        <v>0</v>
      </c>
      <c r="M5" s="59">
        <f t="shared" ref="M5:M28" si="3">K5*L5</f>
        <v>0</v>
      </c>
      <c r="N5" s="60">
        <v>0</v>
      </c>
      <c r="O5" s="61">
        <f t="shared" ref="O5:O28" si="4">M5*N5</f>
        <v>0</v>
      </c>
      <c r="P5" s="72">
        <f t="shared" ref="P5:P28" si="5">J5+O5</f>
        <v>2.5500000000000003</v>
      </c>
      <c r="Q5" s="73">
        <v>44.89</v>
      </c>
      <c r="R5" s="74">
        <f t="shared" ref="R5:R8" si="6">P5*Q5</f>
        <v>114.46950000000001</v>
      </c>
    </row>
    <row r="6" spans="1:18" ht="13" x14ac:dyDescent="0.3">
      <c r="A6" s="111" t="s">
        <v>45</v>
      </c>
      <c r="B6" s="113" t="s">
        <v>18</v>
      </c>
      <c r="C6" s="75" t="s">
        <v>42</v>
      </c>
      <c r="D6" s="54" t="s">
        <v>46</v>
      </c>
      <c r="E6" s="15">
        <v>9</v>
      </c>
      <c r="F6" s="15">
        <f>E6*1</f>
        <v>9</v>
      </c>
      <c r="G6" s="14">
        <v>1</v>
      </c>
      <c r="H6" s="55">
        <f t="shared" si="0"/>
        <v>9</v>
      </c>
      <c r="I6" s="21">
        <v>2</v>
      </c>
      <c r="J6" s="21">
        <f t="shared" si="1"/>
        <v>18</v>
      </c>
      <c r="K6" s="55">
        <f t="shared" si="2"/>
        <v>0</v>
      </c>
      <c r="L6" s="14">
        <v>0</v>
      </c>
      <c r="M6" s="55">
        <f t="shared" si="3"/>
        <v>0</v>
      </c>
      <c r="N6" s="21">
        <v>0</v>
      </c>
      <c r="O6" s="18">
        <f t="shared" si="4"/>
        <v>0</v>
      </c>
      <c r="P6" s="76">
        <f t="shared" si="5"/>
        <v>18</v>
      </c>
      <c r="Q6" s="77">
        <v>46.44</v>
      </c>
      <c r="R6" s="78">
        <f t="shared" si="6"/>
        <v>835.92</v>
      </c>
    </row>
    <row r="7" spans="1:18" ht="14.5" customHeight="1" x14ac:dyDescent="0.3">
      <c r="A7" s="111"/>
      <c r="B7" s="114"/>
      <c r="C7" s="85" t="s">
        <v>43</v>
      </c>
      <c r="D7" s="28" t="s">
        <v>46</v>
      </c>
      <c r="E7" s="33">
        <v>8</v>
      </c>
      <c r="F7" s="33">
        <f>E7*1</f>
        <v>8</v>
      </c>
      <c r="G7" s="2">
        <v>1</v>
      </c>
      <c r="H7" s="23">
        <f t="shared" ref="H7" si="7">F7*G7</f>
        <v>8</v>
      </c>
      <c r="I7" s="5">
        <v>2</v>
      </c>
      <c r="J7" s="19">
        <f t="shared" ref="J7" si="8">H7*I7</f>
        <v>16</v>
      </c>
      <c r="K7" s="23">
        <f t="shared" ref="K7" si="9">E7-F7</f>
        <v>0</v>
      </c>
      <c r="L7" s="2">
        <v>0</v>
      </c>
      <c r="M7" s="23">
        <f t="shared" ref="M7" si="10">K7*L7</f>
        <v>0</v>
      </c>
      <c r="N7" s="5">
        <v>0</v>
      </c>
      <c r="O7" s="52">
        <f t="shared" ref="O7" si="11">M7*N7</f>
        <v>0</v>
      </c>
      <c r="P7" s="80">
        <f t="shared" ref="P7" si="12">J7+O7</f>
        <v>16</v>
      </c>
      <c r="Q7" s="77">
        <v>46.44</v>
      </c>
      <c r="R7" s="86">
        <f t="shared" si="6"/>
        <v>743.04</v>
      </c>
    </row>
    <row r="8" spans="1:18" ht="15" customHeight="1" x14ac:dyDescent="0.25">
      <c r="A8" s="111"/>
      <c r="B8" s="114"/>
      <c r="C8" s="79" t="s">
        <v>31</v>
      </c>
      <c r="D8" s="13" t="s">
        <v>74</v>
      </c>
      <c r="E8" s="16">
        <v>700</v>
      </c>
      <c r="F8" s="16">
        <f>E8*0.8</f>
        <v>560</v>
      </c>
      <c r="G8" s="17">
        <v>1</v>
      </c>
      <c r="H8" s="23">
        <f t="shared" si="0"/>
        <v>560</v>
      </c>
      <c r="I8" s="95">
        <v>0.05</v>
      </c>
      <c r="J8" s="19">
        <f t="shared" si="1"/>
        <v>28</v>
      </c>
      <c r="K8" s="23">
        <f t="shared" si="2"/>
        <v>140</v>
      </c>
      <c r="L8" s="17">
        <v>1</v>
      </c>
      <c r="M8" s="23">
        <f t="shared" si="3"/>
        <v>140</v>
      </c>
      <c r="N8" s="19">
        <v>0.02</v>
      </c>
      <c r="O8" s="52">
        <f t="shared" si="4"/>
        <v>2.8000000000000003</v>
      </c>
      <c r="P8" s="80">
        <f t="shared" si="5"/>
        <v>30.8</v>
      </c>
      <c r="Q8" s="77">
        <v>46.44</v>
      </c>
      <c r="R8" s="81">
        <f t="shared" si="6"/>
        <v>1430.3519999999999</v>
      </c>
    </row>
    <row r="9" spans="1:18" ht="15" customHeight="1" x14ac:dyDescent="0.25">
      <c r="A9" s="111"/>
      <c r="B9" s="114"/>
      <c r="C9" s="82" t="s">
        <v>40</v>
      </c>
      <c r="D9" s="7" t="s">
        <v>19</v>
      </c>
      <c r="E9" s="29">
        <v>700</v>
      </c>
      <c r="F9" s="30">
        <f t="shared" ref="F9" si="13">E9*0.8</f>
        <v>560</v>
      </c>
      <c r="G9" s="24">
        <v>1</v>
      </c>
      <c r="H9" s="31">
        <f t="shared" si="0"/>
        <v>560</v>
      </c>
      <c r="I9" s="27">
        <v>1.5</v>
      </c>
      <c r="J9" s="32">
        <f t="shared" si="1"/>
        <v>840</v>
      </c>
      <c r="K9" s="31">
        <f t="shared" si="2"/>
        <v>140</v>
      </c>
      <c r="L9" s="24">
        <v>1</v>
      </c>
      <c r="M9" s="31">
        <f t="shared" si="3"/>
        <v>140</v>
      </c>
      <c r="N9" s="25">
        <v>0.04</v>
      </c>
      <c r="O9" s="53">
        <f t="shared" si="4"/>
        <v>5.6000000000000005</v>
      </c>
      <c r="P9" s="83">
        <f t="shared" si="5"/>
        <v>845.6</v>
      </c>
      <c r="Q9" s="77">
        <v>46.44</v>
      </c>
      <c r="R9" s="84">
        <f>P9*Q9</f>
        <v>39269.663999999997</v>
      </c>
    </row>
    <row r="10" spans="1:18" s="10" customFormat="1" ht="15" customHeight="1" x14ac:dyDescent="0.25">
      <c r="A10" s="111"/>
      <c r="B10" s="114"/>
      <c r="C10" s="85" t="s">
        <v>20</v>
      </c>
      <c r="D10" s="1" t="s">
        <v>48</v>
      </c>
      <c r="E10" s="33">
        <f>E9</f>
        <v>700</v>
      </c>
      <c r="F10" s="33">
        <f>E10*0.5</f>
        <v>350</v>
      </c>
      <c r="G10" s="2">
        <v>1</v>
      </c>
      <c r="H10" s="23">
        <f t="shared" si="0"/>
        <v>350</v>
      </c>
      <c r="I10" s="3">
        <v>7.0000000000000007E-2</v>
      </c>
      <c r="J10" s="19">
        <f t="shared" si="1"/>
        <v>24.500000000000004</v>
      </c>
      <c r="K10" s="23">
        <f t="shared" si="2"/>
        <v>350</v>
      </c>
      <c r="L10" s="4">
        <v>1</v>
      </c>
      <c r="M10" s="23">
        <f t="shared" si="3"/>
        <v>350</v>
      </c>
      <c r="N10" s="3">
        <v>0.04</v>
      </c>
      <c r="O10" s="52">
        <f t="shared" si="4"/>
        <v>14</v>
      </c>
      <c r="P10" s="80">
        <f>J10+O10</f>
        <v>38.5</v>
      </c>
      <c r="Q10" s="77">
        <v>46.44</v>
      </c>
      <c r="R10" s="86">
        <f t="shared" ref="R10:R27" si="14">P10*Q10</f>
        <v>1787.9399999999998</v>
      </c>
    </row>
    <row r="11" spans="1:18" s="10" customFormat="1" ht="15" customHeight="1" x14ac:dyDescent="0.25">
      <c r="A11" s="111"/>
      <c r="B11" s="114"/>
      <c r="C11" s="85" t="s">
        <v>64</v>
      </c>
      <c r="D11" s="1" t="s">
        <v>49</v>
      </c>
      <c r="E11" s="33">
        <f>E9</f>
        <v>700</v>
      </c>
      <c r="F11" s="33">
        <f>E11*0.5</f>
        <v>350</v>
      </c>
      <c r="G11" s="2">
        <v>1</v>
      </c>
      <c r="H11" s="23">
        <f t="shared" si="0"/>
        <v>350</v>
      </c>
      <c r="I11" s="3">
        <v>0.05</v>
      </c>
      <c r="J11" s="19">
        <f t="shared" si="1"/>
        <v>17.5</v>
      </c>
      <c r="K11" s="23">
        <f t="shared" si="2"/>
        <v>350</v>
      </c>
      <c r="L11" s="4">
        <v>1</v>
      </c>
      <c r="M11" s="23">
        <f t="shared" si="3"/>
        <v>350</v>
      </c>
      <c r="N11" s="3">
        <v>0.03</v>
      </c>
      <c r="O11" s="52">
        <f t="shared" si="4"/>
        <v>10.5</v>
      </c>
      <c r="P11" s="80">
        <f t="shared" si="5"/>
        <v>28</v>
      </c>
      <c r="Q11" s="77">
        <v>46.44</v>
      </c>
      <c r="R11" s="86">
        <f t="shared" si="14"/>
        <v>1300.32</v>
      </c>
    </row>
    <row r="12" spans="1:18" ht="15" customHeight="1" x14ac:dyDescent="0.25">
      <c r="A12" s="111"/>
      <c r="B12" s="114"/>
      <c r="C12" s="85" t="s">
        <v>65</v>
      </c>
      <c r="D12" s="1" t="s">
        <v>50</v>
      </c>
      <c r="E12" s="34">
        <f>K11</f>
        <v>350</v>
      </c>
      <c r="F12" s="34">
        <f>E12*0.295</f>
        <v>103.25</v>
      </c>
      <c r="G12" s="2">
        <v>1</v>
      </c>
      <c r="H12" s="23">
        <f t="shared" si="0"/>
        <v>103.25</v>
      </c>
      <c r="I12" s="3">
        <v>0.05</v>
      </c>
      <c r="J12" s="19">
        <f>H12*I12-0.01</f>
        <v>5.1525000000000007</v>
      </c>
      <c r="K12" s="23">
        <f t="shared" si="2"/>
        <v>246.75</v>
      </c>
      <c r="L12" s="4">
        <v>1</v>
      </c>
      <c r="M12" s="23">
        <f t="shared" si="3"/>
        <v>246.75</v>
      </c>
      <c r="N12" s="3">
        <v>0.03</v>
      </c>
      <c r="O12" s="52">
        <f>M12*N12+0.01</f>
        <v>7.4124999999999996</v>
      </c>
      <c r="P12" s="80">
        <f>J12+O12-0.01</f>
        <v>12.555000000000001</v>
      </c>
      <c r="Q12" s="77">
        <v>46.44</v>
      </c>
      <c r="R12" s="86">
        <f>P12*Q12+0.22</f>
        <v>583.27420000000006</v>
      </c>
    </row>
    <row r="13" spans="1:18" ht="15" customHeight="1" x14ac:dyDescent="0.25">
      <c r="A13" s="111"/>
      <c r="B13" s="114"/>
      <c r="C13" s="85" t="s">
        <v>66</v>
      </c>
      <c r="D13" s="1" t="s">
        <v>51</v>
      </c>
      <c r="E13" s="34">
        <f>K12</f>
        <v>246.75</v>
      </c>
      <c r="F13" s="34">
        <f>E13*0.29</f>
        <v>71.55749999999999</v>
      </c>
      <c r="G13" s="2">
        <v>1</v>
      </c>
      <c r="H13" s="23">
        <f t="shared" si="0"/>
        <v>71.55749999999999</v>
      </c>
      <c r="I13" s="3">
        <v>0.05</v>
      </c>
      <c r="J13" s="19">
        <f>H13*I13+0.02</f>
        <v>3.5978749999999997</v>
      </c>
      <c r="K13" s="23">
        <f t="shared" si="2"/>
        <v>175.1925</v>
      </c>
      <c r="L13" s="4">
        <v>1</v>
      </c>
      <c r="M13" s="23">
        <f t="shared" si="3"/>
        <v>175.1925</v>
      </c>
      <c r="N13" s="3">
        <v>0.03</v>
      </c>
      <c r="O13" s="52">
        <f>M13*N13-0.01</f>
        <v>5.2457750000000001</v>
      </c>
      <c r="P13" s="80">
        <f>J13+O13+0.01</f>
        <v>8.85365</v>
      </c>
      <c r="Q13" s="77">
        <v>46.44</v>
      </c>
      <c r="R13" s="86">
        <f>P13*Q13-0.16</f>
        <v>411.00350599999996</v>
      </c>
    </row>
    <row r="14" spans="1:18" ht="15" customHeight="1" x14ac:dyDescent="0.25">
      <c r="A14" s="111"/>
      <c r="B14" s="114"/>
      <c r="C14" s="85" t="s">
        <v>69</v>
      </c>
      <c r="D14" s="1" t="s">
        <v>52</v>
      </c>
      <c r="E14" s="34">
        <f>K13</f>
        <v>175.1925</v>
      </c>
      <c r="F14" s="34">
        <f>E14*0.2</f>
        <v>35.038499999999999</v>
      </c>
      <c r="G14" s="2">
        <v>1</v>
      </c>
      <c r="H14" s="23">
        <f t="shared" si="0"/>
        <v>35.038499999999999</v>
      </c>
      <c r="I14" s="3">
        <v>0.08</v>
      </c>
      <c r="J14" s="19">
        <f t="shared" si="1"/>
        <v>2.80308</v>
      </c>
      <c r="K14" s="23">
        <f t="shared" si="2"/>
        <v>140.154</v>
      </c>
      <c r="L14" s="4">
        <v>1</v>
      </c>
      <c r="M14" s="23">
        <f t="shared" si="3"/>
        <v>140.154</v>
      </c>
      <c r="N14" s="3">
        <v>0.01</v>
      </c>
      <c r="O14" s="52">
        <f t="shared" si="4"/>
        <v>1.40154</v>
      </c>
      <c r="P14" s="80">
        <f t="shared" si="5"/>
        <v>4.2046200000000002</v>
      </c>
      <c r="Q14" s="77">
        <v>46.44</v>
      </c>
      <c r="R14" s="86">
        <f t="shared" si="14"/>
        <v>195.26255280000001</v>
      </c>
    </row>
    <row r="15" spans="1:18" ht="26.25" customHeight="1" x14ac:dyDescent="0.25">
      <c r="A15" s="111"/>
      <c r="B15" s="114"/>
      <c r="C15" s="85" t="s">
        <v>41</v>
      </c>
      <c r="D15" s="1" t="s">
        <v>35</v>
      </c>
      <c r="E15" s="33">
        <f>E9</f>
        <v>700</v>
      </c>
      <c r="F15" s="33">
        <f>SUM(F11:F14)*0.8</f>
        <v>447.8768</v>
      </c>
      <c r="G15" s="2">
        <v>1</v>
      </c>
      <c r="H15" s="23">
        <f>F15*G15</f>
        <v>447.8768</v>
      </c>
      <c r="I15" s="3">
        <v>0.08</v>
      </c>
      <c r="J15" s="19">
        <f>H15*I15+0.01</f>
        <v>35.840144000000002</v>
      </c>
      <c r="K15" s="23">
        <f t="shared" si="2"/>
        <v>252.1232</v>
      </c>
      <c r="L15" s="4">
        <v>1</v>
      </c>
      <c r="M15" s="23">
        <f t="shared" si="3"/>
        <v>252.1232</v>
      </c>
      <c r="N15" s="3">
        <v>0.04</v>
      </c>
      <c r="O15" s="52">
        <f t="shared" si="4"/>
        <v>10.084928</v>
      </c>
      <c r="P15" s="80">
        <f>J15+O15-0.01</f>
        <v>45.915072000000002</v>
      </c>
      <c r="Q15" s="77">
        <v>46.44</v>
      </c>
      <c r="R15" s="86">
        <f>P15*Q15+0.22</f>
        <v>2132.51594368</v>
      </c>
    </row>
    <row r="16" spans="1:18" ht="15" customHeight="1" x14ac:dyDescent="0.25">
      <c r="A16" s="111"/>
      <c r="B16" s="114"/>
      <c r="C16" s="85" t="s">
        <v>21</v>
      </c>
      <c r="D16" s="1" t="s">
        <v>53</v>
      </c>
      <c r="E16" s="33">
        <f>SUM(F11:F14)*0.1</f>
        <v>55.9846</v>
      </c>
      <c r="F16" s="33">
        <f>E16*0.8</f>
        <v>44.787680000000002</v>
      </c>
      <c r="G16" s="2">
        <v>1</v>
      </c>
      <c r="H16" s="23">
        <f t="shared" si="0"/>
        <v>44.787680000000002</v>
      </c>
      <c r="I16" s="3">
        <v>0.05</v>
      </c>
      <c r="J16" s="19">
        <f>H16*I16+0.01</f>
        <v>2.2493840000000001</v>
      </c>
      <c r="K16" s="23">
        <f t="shared" si="2"/>
        <v>11.196919999999999</v>
      </c>
      <c r="L16" s="4">
        <v>1</v>
      </c>
      <c r="M16" s="23">
        <f t="shared" si="3"/>
        <v>11.196919999999999</v>
      </c>
      <c r="N16" s="3">
        <v>0.02</v>
      </c>
      <c r="O16" s="52">
        <f t="shared" si="4"/>
        <v>0.22393839999999998</v>
      </c>
      <c r="P16" s="80">
        <f t="shared" si="5"/>
        <v>2.4733223999999998</v>
      </c>
      <c r="Q16" s="77">
        <v>46.44</v>
      </c>
      <c r="R16" s="86">
        <f>P16*Q16-0.15</f>
        <v>114.71109225599999</v>
      </c>
    </row>
    <row r="17" spans="1:18" ht="15" customHeight="1" x14ac:dyDescent="0.25">
      <c r="A17" s="111"/>
      <c r="B17" s="114"/>
      <c r="C17" s="85" t="s">
        <v>70</v>
      </c>
      <c r="D17" s="1" t="s">
        <v>54</v>
      </c>
      <c r="E17" s="33">
        <f>K16</f>
        <v>11.196919999999999</v>
      </c>
      <c r="F17" s="33">
        <f>E17*0.8</f>
        <v>8.9575359999999993</v>
      </c>
      <c r="G17" s="2">
        <v>1</v>
      </c>
      <c r="H17" s="23">
        <f t="shared" si="0"/>
        <v>8.9575359999999993</v>
      </c>
      <c r="I17" s="3">
        <v>0.08</v>
      </c>
      <c r="J17" s="19">
        <f t="shared" si="1"/>
        <v>0.71660287999999994</v>
      </c>
      <c r="K17" s="23">
        <f t="shared" si="2"/>
        <v>2.2393839999999994</v>
      </c>
      <c r="L17" s="4">
        <v>1</v>
      </c>
      <c r="M17" s="23">
        <f t="shared" si="3"/>
        <v>2.2393839999999994</v>
      </c>
      <c r="N17" s="3">
        <v>0.04</v>
      </c>
      <c r="O17" s="52">
        <f>M17*N17-0.01</f>
        <v>7.9575359999999984E-2</v>
      </c>
      <c r="P17" s="80">
        <f t="shared" si="5"/>
        <v>0.79617823999999993</v>
      </c>
      <c r="Q17" s="77">
        <v>46.44</v>
      </c>
      <c r="R17" s="86">
        <f>P17*Q17+0.17</f>
        <v>37.144517465599996</v>
      </c>
    </row>
    <row r="18" spans="1:18" ht="15" customHeight="1" x14ac:dyDescent="0.25">
      <c r="A18" s="111"/>
      <c r="B18" s="114"/>
      <c r="C18" s="85" t="s">
        <v>22</v>
      </c>
      <c r="D18" s="1" t="s">
        <v>23</v>
      </c>
      <c r="E18" s="33">
        <f>SUM(F11:F14)</f>
        <v>559.846</v>
      </c>
      <c r="F18" s="33">
        <f>E18</f>
        <v>559.846</v>
      </c>
      <c r="G18" s="2">
        <v>1</v>
      </c>
      <c r="H18" s="23">
        <f t="shared" si="0"/>
        <v>559.846</v>
      </c>
      <c r="I18" s="3">
        <v>0.05</v>
      </c>
      <c r="J18" s="19">
        <f>H18*I18+0.01</f>
        <v>28.002300000000002</v>
      </c>
      <c r="K18" s="23">
        <f t="shared" si="2"/>
        <v>0</v>
      </c>
      <c r="L18" s="2">
        <v>0</v>
      </c>
      <c r="M18" s="23">
        <f t="shared" si="3"/>
        <v>0</v>
      </c>
      <c r="N18" s="5">
        <v>0.01</v>
      </c>
      <c r="O18" s="52">
        <f t="shared" si="4"/>
        <v>0</v>
      </c>
      <c r="P18" s="80">
        <f t="shared" si="5"/>
        <v>28.002300000000002</v>
      </c>
      <c r="Q18" s="77">
        <v>46.44</v>
      </c>
      <c r="R18" s="86">
        <f>P18*Q18-0.1</f>
        <v>1300.326812</v>
      </c>
    </row>
    <row r="19" spans="1:18" ht="16.5" customHeight="1" x14ac:dyDescent="0.25">
      <c r="A19" s="111"/>
      <c r="B19" s="114"/>
      <c r="C19" s="87" t="s">
        <v>67</v>
      </c>
      <c r="D19" s="8" t="s">
        <v>24</v>
      </c>
      <c r="E19" s="29">
        <v>125</v>
      </c>
      <c r="F19" s="29">
        <f>E19*0.8</f>
        <v>100</v>
      </c>
      <c r="G19" s="24">
        <v>1</v>
      </c>
      <c r="H19" s="31">
        <f t="shared" si="0"/>
        <v>100</v>
      </c>
      <c r="I19" s="27">
        <v>1.5</v>
      </c>
      <c r="J19" s="32">
        <f t="shared" si="1"/>
        <v>150</v>
      </c>
      <c r="K19" s="31">
        <f t="shared" si="2"/>
        <v>25</v>
      </c>
      <c r="L19" s="24">
        <v>1</v>
      </c>
      <c r="M19" s="31">
        <f t="shared" si="3"/>
        <v>25</v>
      </c>
      <c r="N19" s="25">
        <v>0.04</v>
      </c>
      <c r="O19" s="53">
        <f t="shared" si="4"/>
        <v>1</v>
      </c>
      <c r="P19" s="83">
        <f t="shared" si="5"/>
        <v>151</v>
      </c>
      <c r="Q19" s="77">
        <v>46.44</v>
      </c>
      <c r="R19" s="84">
        <f>P19*Q19+0.02</f>
        <v>7012.46</v>
      </c>
    </row>
    <row r="20" spans="1:18" ht="15" customHeight="1" x14ac:dyDescent="0.25">
      <c r="A20" s="111"/>
      <c r="B20" s="114"/>
      <c r="C20" s="85" t="s">
        <v>27</v>
      </c>
      <c r="D20" s="1" t="s">
        <v>55</v>
      </c>
      <c r="E20" s="33">
        <v>125</v>
      </c>
      <c r="F20" s="33">
        <f>E20*0.8</f>
        <v>100</v>
      </c>
      <c r="G20" s="2">
        <v>1</v>
      </c>
      <c r="H20" s="23">
        <f t="shared" si="0"/>
        <v>100</v>
      </c>
      <c r="I20" s="3">
        <v>7.0000000000000007E-2</v>
      </c>
      <c r="J20" s="19">
        <f t="shared" si="1"/>
        <v>7.0000000000000009</v>
      </c>
      <c r="K20" s="23">
        <f t="shared" si="2"/>
        <v>25</v>
      </c>
      <c r="L20" s="2">
        <v>1</v>
      </c>
      <c r="M20" s="23">
        <f t="shared" si="3"/>
        <v>25</v>
      </c>
      <c r="N20" s="3">
        <v>0.04</v>
      </c>
      <c r="O20" s="52">
        <f t="shared" si="4"/>
        <v>1</v>
      </c>
      <c r="P20" s="80">
        <f t="shared" si="5"/>
        <v>8</v>
      </c>
      <c r="Q20" s="77">
        <v>46.44</v>
      </c>
      <c r="R20" s="86">
        <f t="shared" si="14"/>
        <v>371.52</v>
      </c>
    </row>
    <row r="21" spans="1:18" ht="26.25" customHeight="1" x14ac:dyDescent="0.25">
      <c r="A21" s="111"/>
      <c r="B21" s="114"/>
      <c r="C21" s="85" t="s">
        <v>37</v>
      </c>
      <c r="D21" s="1" t="s">
        <v>36</v>
      </c>
      <c r="E21" s="33">
        <f>E22</f>
        <v>125</v>
      </c>
      <c r="F21" s="33">
        <f>SUM(F22:F24)*0.8</f>
        <v>80.050000000000011</v>
      </c>
      <c r="G21" s="2">
        <v>1</v>
      </c>
      <c r="H21" s="23">
        <f t="shared" si="0"/>
        <v>80.050000000000011</v>
      </c>
      <c r="I21" s="3">
        <v>0.08</v>
      </c>
      <c r="J21" s="19">
        <f t="shared" si="1"/>
        <v>6.4040000000000008</v>
      </c>
      <c r="K21" s="23">
        <f t="shared" si="2"/>
        <v>44.949999999999989</v>
      </c>
      <c r="L21" s="4">
        <v>1</v>
      </c>
      <c r="M21" s="23">
        <f t="shared" si="3"/>
        <v>44.949999999999989</v>
      </c>
      <c r="N21" s="3">
        <v>1.33333333333334E-2</v>
      </c>
      <c r="O21" s="52">
        <f>M21*N21-0.15</f>
        <v>0.44933333333333614</v>
      </c>
      <c r="P21" s="80">
        <f t="shared" si="5"/>
        <v>6.8533333333333371</v>
      </c>
      <c r="Q21" s="77">
        <v>46.44</v>
      </c>
      <c r="R21" s="86">
        <f>P21*Q21-0.14</f>
        <v>318.12880000000018</v>
      </c>
    </row>
    <row r="22" spans="1:18" ht="27" customHeight="1" x14ac:dyDescent="0.25">
      <c r="A22" s="111"/>
      <c r="B22" s="114"/>
      <c r="C22" s="85" t="s">
        <v>71</v>
      </c>
      <c r="D22" s="1" t="s">
        <v>56</v>
      </c>
      <c r="E22" s="33">
        <v>125</v>
      </c>
      <c r="F22" s="33">
        <f>E22*0.6</f>
        <v>75</v>
      </c>
      <c r="G22" s="2">
        <v>1</v>
      </c>
      <c r="H22" s="23">
        <f t="shared" si="0"/>
        <v>75</v>
      </c>
      <c r="I22" s="3">
        <v>7.0000000000000007E-2</v>
      </c>
      <c r="J22" s="19">
        <f t="shared" si="1"/>
        <v>5.2500000000000009</v>
      </c>
      <c r="K22" s="23">
        <f t="shared" si="2"/>
        <v>50</v>
      </c>
      <c r="L22" s="2">
        <v>1</v>
      </c>
      <c r="M22" s="23">
        <f t="shared" si="3"/>
        <v>50</v>
      </c>
      <c r="N22" s="3">
        <v>0.01</v>
      </c>
      <c r="O22" s="52">
        <f t="shared" si="4"/>
        <v>0.5</v>
      </c>
      <c r="P22" s="80">
        <f t="shared" si="5"/>
        <v>5.7500000000000009</v>
      </c>
      <c r="Q22" s="77">
        <v>46.44</v>
      </c>
      <c r="R22" s="86">
        <f t="shared" si="14"/>
        <v>267.03000000000003</v>
      </c>
    </row>
    <row r="23" spans="1:18" ht="15" customHeight="1" x14ac:dyDescent="0.25">
      <c r="A23" s="111"/>
      <c r="B23" s="114"/>
      <c r="C23" s="85" t="s">
        <v>68</v>
      </c>
      <c r="D23" s="1" t="s">
        <v>57</v>
      </c>
      <c r="E23" s="34">
        <f>K22</f>
        <v>50</v>
      </c>
      <c r="F23" s="34">
        <f>E23*0.335</f>
        <v>16.75</v>
      </c>
      <c r="G23" s="2">
        <v>1</v>
      </c>
      <c r="H23" s="23">
        <f t="shared" si="0"/>
        <v>16.75</v>
      </c>
      <c r="I23" s="5">
        <v>0.05</v>
      </c>
      <c r="J23" s="19">
        <f>H23*I23+0.01</f>
        <v>0.84750000000000003</v>
      </c>
      <c r="K23" s="23">
        <f t="shared" si="2"/>
        <v>33.25</v>
      </c>
      <c r="L23" s="2">
        <v>1</v>
      </c>
      <c r="M23" s="23">
        <f t="shared" si="3"/>
        <v>33.25</v>
      </c>
      <c r="N23" s="3">
        <v>0.02</v>
      </c>
      <c r="O23" s="52">
        <f>M23*N23-0.01</f>
        <v>0.65500000000000003</v>
      </c>
      <c r="P23" s="80">
        <f>J23+O23+0.01</f>
        <v>1.5125</v>
      </c>
      <c r="Q23" s="77">
        <v>46.44</v>
      </c>
      <c r="R23" s="86">
        <f>P23*Q23-0.11</f>
        <v>70.130499999999998</v>
      </c>
    </row>
    <row r="24" spans="1:18" ht="24" customHeight="1" x14ac:dyDescent="0.25">
      <c r="A24" s="111"/>
      <c r="B24" s="114"/>
      <c r="C24" s="85" t="s">
        <v>72</v>
      </c>
      <c r="D24" s="1" t="s">
        <v>56</v>
      </c>
      <c r="E24" s="33">
        <f>M23</f>
        <v>33.25</v>
      </c>
      <c r="F24" s="33">
        <f>E24*0.25</f>
        <v>8.3125</v>
      </c>
      <c r="G24" s="2">
        <v>1</v>
      </c>
      <c r="H24" s="23">
        <f t="shared" si="0"/>
        <v>8.3125</v>
      </c>
      <c r="I24" s="3">
        <v>7.0000000000000007E-2</v>
      </c>
      <c r="J24" s="19">
        <f>H24*I24-0.02</f>
        <v>0.56187500000000001</v>
      </c>
      <c r="K24" s="23">
        <f t="shared" si="2"/>
        <v>24.9375</v>
      </c>
      <c r="L24" s="2">
        <v>1</v>
      </c>
      <c r="M24" s="23">
        <f t="shared" si="3"/>
        <v>24.9375</v>
      </c>
      <c r="N24" s="3">
        <v>0.01</v>
      </c>
      <c r="O24" s="52">
        <f t="shared" si="4"/>
        <v>0.24937500000000001</v>
      </c>
      <c r="P24" s="80">
        <f t="shared" si="5"/>
        <v>0.81125000000000003</v>
      </c>
      <c r="Q24" s="77">
        <v>46.44</v>
      </c>
      <c r="R24" s="86">
        <f>P24*Q24-0.06</f>
        <v>37.614449999999998</v>
      </c>
    </row>
    <row r="25" spans="1:18" ht="15" customHeight="1" x14ac:dyDescent="0.25">
      <c r="A25" s="111"/>
      <c r="B25" s="114"/>
      <c r="C25" s="88" t="s">
        <v>28</v>
      </c>
      <c r="D25" s="6" t="s">
        <v>58</v>
      </c>
      <c r="E25" s="34">
        <f>SUM(F22:F24)</f>
        <v>100.0625</v>
      </c>
      <c r="F25" s="34">
        <f>E25</f>
        <v>100.0625</v>
      </c>
      <c r="G25" s="2">
        <v>1</v>
      </c>
      <c r="H25" s="23">
        <f t="shared" si="0"/>
        <v>100.0625</v>
      </c>
      <c r="I25" s="5">
        <v>0.05</v>
      </c>
      <c r="J25" s="19">
        <f t="shared" si="1"/>
        <v>5.0031250000000007</v>
      </c>
      <c r="K25" s="23">
        <f t="shared" si="2"/>
        <v>0</v>
      </c>
      <c r="L25" s="2">
        <v>0</v>
      </c>
      <c r="M25" s="23">
        <f t="shared" si="3"/>
        <v>0</v>
      </c>
      <c r="N25" s="3">
        <v>0</v>
      </c>
      <c r="O25" s="52">
        <f t="shared" si="4"/>
        <v>0</v>
      </c>
      <c r="P25" s="80">
        <f t="shared" si="5"/>
        <v>5.0031250000000007</v>
      </c>
      <c r="Q25" s="77">
        <v>46.44</v>
      </c>
      <c r="R25" s="86">
        <f>P25*Q25-0.14</f>
        <v>232.20512500000004</v>
      </c>
    </row>
    <row r="26" spans="1:18" ht="15" customHeight="1" x14ac:dyDescent="0.25">
      <c r="A26" s="111"/>
      <c r="B26" s="114"/>
      <c r="C26" s="85" t="s">
        <v>29</v>
      </c>
      <c r="D26" s="1" t="s">
        <v>59</v>
      </c>
      <c r="E26" s="34">
        <f>F25*0.1</f>
        <v>10.006250000000001</v>
      </c>
      <c r="F26" s="34">
        <f>E26*0.8</f>
        <v>8.0050000000000008</v>
      </c>
      <c r="G26" s="2">
        <v>1</v>
      </c>
      <c r="H26" s="23">
        <f t="shared" si="0"/>
        <v>8.0050000000000008</v>
      </c>
      <c r="I26" s="5">
        <v>0.05</v>
      </c>
      <c r="J26" s="19">
        <f t="shared" si="1"/>
        <v>0.40025000000000005</v>
      </c>
      <c r="K26" s="23">
        <f t="shared" si="2"/>
        <v>2.0012500000000006</v>
      </c>
      <c r="L26" s="2">
        <v>1</v>
      </c>
      <c r="M26" s="23">
        <f t="shared" si="3"/>
        <v>2.0012500000000006</v>
      </c>
      <c r="N26" s="3">
        <v>0.01</v>
      </c>
      <c r="O26" s="52">
        <f t="shared" si="4"/>
        <v>2.0012500000000006E-2</v>
      </c>
      <c r="P26" s="80">
        <f t="shared" si="5"/>
        <v>0.42026250000000004</v>
      </c>
      <c r="Q26" s="77">
        <v>46.44</v>
      </c>
      <c r="R26" s="86">
        <f>P26*Q26-0.01</f>
        <v>19.506990500000001</v>
      </c>
    </row>
    <row r="27" spans="1:18" ht="15" customHeight="1" x14ac:dyDescent="0.25">
      <c r="A27" s="111"/>
      <c r="B27" s="114"/>
      <c r="C27" s="92" t="s">
        <v>73</v>
      </c>
      <c r="D27" s="1" t="s">
        <v>60</v>
      </c>
      <c r="E27" s="34">
        <f>K26</f>
        <v>2.0012500000000006</v>
      </c>
      <c r="F27" s="34">
        <f>E27*0.5</f>
        <v>1.0006250000000003</v>
      </c>
      <c r="G27" s="2">
        <v>1</v>
      </c>
      <c r="H27" s="23">
        <f t="shared" si="0"/>
        <v>1.0006250000000003</v>
      </c>
      <c r="I27" s="5">
        <v>0.08</v>
      </c>
      <c r="J27" s="19">
        <f t="shared" si="1"/>
        <v>8.0050000000000024E-2</v>
      </c>
      <c r="K27" s="23">
        <f t="shared" si="2"/>
        <v>1.0006250000000003</v>
      </c>
      <c r="L27" s="2">
        <v>1</v>
      </c>
      <c r="M27" s="23">
        <f t="shared" si="3"/>
        <v>1.0006250000000003</v>
      </c>
      <c r="N27" s="3">
        <v>0.04</v>
      </c>
      <c r="O27" s="52">
        <f t="shared" si="4"/>
        <v>4.0025000000000012E-2</v>
      </c>
      <c r="P27" s="80">
        <f t="shared" si="5"/>
        <v>0.12007500000000004</v>
      </c>
      <c r="Q27" s="77">
        <v>46.44</v>
      </c>
      <c r="R27" s="86">
        <f t="shared" si="14"/>
        <v>5.5762830000000019</v>
      </c>
    </row>
    <row r="28" spans="1:18" ht="15.75" customHeight="1" thickBot="1" x14ac:dyDescent="0.3">
      <c r="A28" s="112"/>
      <c r="B28" s="115"/>
      <c r="C28" s="89" t="s">
        <v>30</v>
      </c>
      <c r="D28" s="35" t="s">
        <v>25</v>
      </c>
      <c r="E28" s="36">
        <v>100</v>
      </c>
      <c r="F28" s="36">
        <f>E28*0.8</f>
        <v>80</v>
      </c>
      <c r="G28" s="37">
        <v>1</v>
      </c>
      <c r="H28" s="38">
        <f t="shared" si="0"/>
        <v>80</v>
      </c>
      <c r="I28" s="39">
        <v>0.05</v>
      </c>
      <c r="J28" s="26">
        <f t="shared" si="1"/>
        <v>4</v>
      </c>
      <c r="K28" s="23">
        <f t="shared" si="2"/>
        <v>20</v>
      </c>
      <c r="L28" s="37">
        <v>1</v>
      </c>
      <c r="M28" s="38">
        <f t="shared" si="3"/>
        <v>20</v>
      </c>
      <c r="N28" s="40">
        <v>0.01</v>
      </c>
      <c r="O28" s="20">
        <f t="shared" si="4"/>
        <v>0.2</v>
      </c>
      <c r="P28" s="72">
        <f t="shared" si="5"/>
        <v>4.2</v>
      </c>
      <c r="Q28" s="77">
        <v>46.44</v>
      </c>
      <c r="R28" s="90">
        <f>P28*Q28</f>
        <v>195.048</v>
      </c>
    </row>
    <row r="29" spans="1:18" ht="13.5" customHeight="1" thickBot="1" x14ac:dyDescent="0.35">
      <c r="A29" s="98" t="s">
        <v>47</v>
      </c>
      <c r="B29" s="99"/>
      <c r="C29" s="100"/>
      <c r="D29" s="41" t="s">
        <v>26</v>
      </c>
      <c r="E29" s="22">
        <f>E4+E6+E9</f>
        <v>760</v>
      </c>
      <c r="F29" s="42">
        <f>F5+F6+F9</f>
        <v>620</v>
      </c>
      <c r="G29" s="43">
        <f>H29/F29</f>
        <v>6.0959590983870973</v>
      </c>
      <c r="H29" s="44">
        <f>SUM(H4:H28)</f>
        <v>3779.4946410000002</v>
      </c>
      <c r="I29" s="45">
        <f>J29/H29</f>
        <v>0.31935716293558308</v>
      </c>
      <c r="J29" s="46">
        <f>SUM(J4:J28)</f>
        <v>1207.0086858800003</v>
      </c>
      <c r="K29" s="47">
        <f>K9</f>
        <v>140</v>
      </c>
      <c r="L29" s="48">
        <f>M29/K29</f>
        <v>14.52710985</v>
      </c>
      <c r="M29" s="44">
        <f>SUM(M4:M28)</f>
        <v>2033.7953790000001</v>
      </c>
      <c r="N29" s="45">
        <f>+O29/M29</f>
        <v>3.0220347252216534E-2</v>
      </c>
      <c r="O29" s="49">
        <f>SUM(O4:O28)</f>
        <v>61.462002593333338</v>
      </c>
      <c r="P29" s="50">
        <f>SUM(P4:P28)</f>
        <v>1268.4706884733332</v>
      </c>
      <c r="Q29" s="62" t="s">
        <v>46</v>
      </c>
      <c r="R29" s="51">
        <f>SUM(R4:R28)+0.07</f>
        <v>58899.703772701592</v>
      </c>
    </row>
    <row r="30" spans="1:18" ht="13.5" customHeight="1" x14ac:dyDescent="0.25">
      <c r="A30" s="93"/>
      <c r="B30" s="93"/>
      <c r="C30" s="93"/>
      <c r="D30" s="93"/>
      <c r="E30" s="93"/>
      <c r="F30" s="93"/>
    </row>
    <row r="31" spans="1:18" ht="11.25" customHeight="1" x14ac:dyDescent="0.25">
      <c r="A31" s="96" t="s">
        <v>63</v>
      </c>
      <c r="B31" s="96"/>
      <c r="C31" s="96"/>
    </row>
    <row r="32" spans="1:18" ht="13.5" customHeight="1" x14ac:dyDescent="0.25">
      <c r="A32" s="91" t="s">
        <v>62</v>
      </c>
      <c r="B32" s="91"/>
      <c r="C32" s="91"/>
      <c r="D32" s="91"/>
    </row>
  </sheetData>
  <mergeCells count="16">
    <mergeCell ref="A31:C31"/>
    <mergeCell ref="A1:R1"/>
    <mergeCell ref="A29:C29"/>
    <mergeCell ref="P2:P3"/>
    <mergeCell ref="Q2:Q3"/>
    <mergeCell ref="R2:R3"/>
    <mergeCell ref="E2:E3"/>
    <mergeCell ref="F2:J2"/>
    <mergeCell ref="K2:O2"/>
    <mergeCell ref="A2:A3"/>
    <mergeCell ref="B2:B3"/>
    <mergeCell ref="C2:C3"/>
    <mergeCell ref="B4:B5"/>
    <mergeCell ref="A4:A5"/>
    <mergeCell ref="A6:A28"/>
    <mergeCell ref="B6:B28"/>
  </mergeCells>
  <pageMargins left="0.7" right="0.7" top="0.75" bottom="0.75" header="0.3" footer="0.3"/>
  <pageSetup scale="50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 xmlns="d245277e-2844-4e59-bd08-d1d2617149b4">3.1</Task>
    <SharedWithUsers xmlns="22088e7c-88fa-40f6-88eb-a8b754a964ae">
      <UserInfo>
        <DisplayName>Morgan Miller, MPIA</DisplayName>
        <AccountId>54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EAD8670606C48B6628774B70AE587" ma:contentTypeVersion="5" ma:contentTypeDescription="Create a new document." ma:contentTypeScope="" ma:versionID="0b905a1ffeac7a2823d37af775386e51">
  <xsd:schema xmlns:xsd="http://www.w3.org/2001/XMLSchema" xmlns:xs="http://www.w3.org/2001/XMLSchema" xmlns:p="http://schemas.microsoft.com/office/2006/metadata/properties" xmlns:ns2="d245277e-2844-4e59-bd08-d1d2617149b4" xmlns:ns3="22088e7c-88fa-40f6-88eb-a8b754a964ae" targetNamespace="http://schemas.microsoft.com/office/2006/metadata/properties" ma:root="true" ma:fieldsID="0288ce1fe698461fcc814a27a896d42c" ns2:_="" ns3:_="">
    <xsd:import namespace="d245277e-2844-4e59-bd08-d1d2617149b4"/>
    <xsd:import namespace="22088e7c-88fa-40f6-88eb-a8b754a964ae"/>
    <xsd:element name="properties">
      <xsd:complexType>
        <xsd:sequence>
          <xsd:element name="documentManagement">
            <xsd:complexType>
              <xsd:all>
                <xsd:element ref="ns2:Task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5277e-2844-4e59-bd08-d1d2617149b4" elementFormDefault="qualified">
    <xsd:import namespace="http://schemas.microsoft.com/office/2006/documentManagement/types"/>
    <xsd:import namespace="http://schemas.microsoft.com/office/infopath/2007/PartnerControls"/>
    <xsd:element name="Task" ma:index="8" nillable="true" ma:displayName="Task" ma:default="3.1" ma:format="Dropdown" ma:internalName="Task">
      <xsd:simpleType>
        <xsd:restriction base="dms:Choice">
          <xsd:enumeration value="N/A"/>
          <xsd:enumeration value="0.1"/>
          <xsd:enumeration value="1.1"/>
          <xsd:enumeration value="1.2"/>
          <xsd:enumeration value="1.3"/>
          <xsd:enumeration value="1.4"/>
          <xsd:enumeration value="1.5"/>
          <xsd:enumeration value="2.1"/>
          <xsd:enumeration value="2.2"/>
          <xsd:enumeration value="2.3"/>
          <xsd:enumeration value="3.1"/>
          <xsd:enumeration value="3.2"/>
          <xsd:enumeration value="3.3"/>
          <xsd:enumeration value="3.4"/>
          <xsd:enumeration value="3.5"/>
          <xsd:enumeration value="3.6"/>
          <xsd:enumeration value="4.1"/>
          <xsd:enumeration value="4.2"/>
          <xsd:enumeration value="4.3"/>
          <xsd:enumeration value="4.4"/>
          <xsd:enumeration value="4.5"/>
          <xsd:enumeration value="4.6"/>
          <xsd:enumeration value="5.1"/>
          <xsd:enumeration value="5.2"/>
          <xsd:enumeration value="5.3"/>
          <xsd:enumeration value="5.4"/>
          <xsd:enumeration value="5.5"/>
          <xsd:enumeration value="6.1"/>
          <xsd:enumeration value="6.2"/>
          <xsd:enumeration value="6.3"/>
          <xsd:enumeration value="6.4"/>
          <xsd:enumeration value="7.1"/>
          <xsd:enumeration value="7.2"/>
          <xsd:enumeration value="7.3"/>
          <xsd:enumeration value="8.1"/>
          <xsd:enumeration value="8.2"/>
          <xsd:enumeration value="8.3"/>
          <xsd:enumeration value="8.4"/>
          <xsd:enumeration value="8.5"/>
          <xsd:enumeration value="9.1"/>
          <xsd:enumeration value="9.2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8e7c-88fa-40f6-88eb-a8b754a964a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06889-7DA0-435F-A82F-11F3B3B383A1}">
  <ds:schemaRefs>
    <ds:schemaRef ds:uri="http://purl.org/dc/elements/1.1/"/>
    <ds:schemaRef ds:uri="d245277e-2844-4e59-bd08-d1d2617149b4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088e7c-88fa-40f6-88eb-a8b754a964a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163F09-6FB5-4CA6-9530-FD84665554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3CA13C-5C9D-44E4-BC15-4CF921E89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5277e-2844-4e59-bd08-d1d2617149b4"/>
    <ds:schemaRef ds:uri="22088e7c-88fa-40f6-88eb-a8b754a96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Matthews-Ewald, PhD, MS</dc:creator>
  <cp:lastModifiedBy>Steven Garasky, PhD</cp:lastModifiedBy>
  <cp:revision/>
  <cp:lastPrinted>2018-02-22T16:30:40Z</cp:lastPrinted>
  <dcterms:created xsi:type="dcterms:W3CDTF">2017-09-27T19:13:40Z</dcterms:created>
  <dcterms:modified xsi:type="dcterms:W3CDTF">2018-05-23T15:48:31Z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0x01010000EEAD8670606C48B6628774B70AE587</vt:lpwstr>
  </property>
  <property fmtid="{D5CDD505-2E9C-101B-9397-08002B2CF9AE}" pid="3" name="Task">
    <vt:lpwstr>3.1</vt:lpwstr>
  </property>
</Properties>
</file>