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0" yWindow="0" windowWidth="24240" windowHeight="11250"/>
  </bookViews>
  <sheets>
    <sheet name="Age 6 Extension Burden Table" sheetId="1" r:id="rId1"/>
    <sheet name="Sheet1" sheetId="3" r:id="rId2"/>
    <sheet name="Sheet2" sheetId="2" state="hidden" r:id="rId3"/>
  </sheets>
  <definedNames>
    <definedName name="OLE_LINK3" localSheetId="0">'Age 6 Extension Burden Table'!#REF!</definedName>
    <definedName name="_xlnm.Print_Area" localSheetId="0">'Age 6 Extension Burden Table'!$A$2:$T$65</definedName>
    <definedName name="_xlnm.Print_Titles" localSheetId="0">'Age 6 Extension Burden Table'!$3:$3</definedName>
  </definedNames>
  <calcPr calcId="145621"/>
</workbook>
</file>

<file path=xl/calcChain.xml><?xml version="1.0" encoding="utf-8"?>
<calcChain xmlns="http://schemas.openxmlformats.org/spreadsheetml/2006/main">
  <c r="K21" i="1" l="1"/>
  <c r="T36" i="1" l="1"/>
  <c r="T28" i="1"/>
  <c r="J28" i="1"/>
  <c r="J5" i="1" l="1"/>
  <c r="J6" i="1"/>
  <c r="J7" i="1"/>
  <c r="J8" i="1"/>
  <c r="J9" i="1"/>
  <c r="J10" i="1"/>
  <c r="J11" i="1"/>
  <c r="J12" i="1"/>
  <c r="J13" i="1"/>
  <c r="J14" i="1"/>
  <c r="J15" i="1"/>
  <c r="J16" i="1"/>
  <c r="J17" i="1"/>
  <c r="J18" i="1"/>
  <c r="J19" i="1"/>
  <c r="J20" i="1"/>
  <c r="J4" i="1"/>
  <c r="M17" i="1" l="1"/>
  <c r="M6" i="1"/>
  <c r="M21" i="1"/>
  <c r="M8" i="1"/>
  <c r="M7" i="1"/>
  <c r="M15" i="1"/>
  <c r="L7" i="1"/>
  <c r="G8" i="1"/>
  <c r="P39" i="1" l="1"/>
  <c r="N39" i="1"/>
  <c r="N37" i="1"/>
  <c r="L32" i="1" l="1"/>
  <c r="M32" i="1"/>
  <c r="O32" i="1" s="1"/>
  <c r="Q32" i="1" s="1"/>
  <c r="O27" i="1"/>
  <c r="Q27" i="1" s="1"/>
  <c r="R32" i="1" l="1"/>
  <c r="T32" i="1" s="1"/>
  <c r="J27" i="1"/>
  <c r="L27" i="1" l="1"/>
  <c r="R27" i="1" s="1"/>
  <c r="T27" i="1" s="1"/>
  <c r="U27" i="1"/>
  <c r="M35" i="1" l="1"/>
  <c r="O35" i="1" s="1"/>
  <c r="Q35" i="1" s="1"/>
  <c r="J35" i="1"/>
  <c r="G38" i="1" s="1"/>
  <c r="L35" i="1" l="1"/>
  <c r="O25" i="1"/>
  <c r="Q25" i="1" s="1"/>
  <c r="J25" i="1"/>
  <c r="L25" i="1" s="1"/>
  <c r="R25" i="1" l="1"/>
  <c r="T25" i="1" s="1"/>
  <c r="R35" i="1"/>
  <c r="T35" i="1" s="1"/>
  <c r="O10" i="1" l="1"/>
  <c r="Q10" i="1" s="1"/>
  <c r="O9" i="1"/>
  <c r="Q9" i="1" s="1"/>
  <c r="O13" i="1"/>
  <c r="Q13" i="1" s="1"/>
  <c r="O12" i="1"/>
  <c r="Q12" i="1" s="1"/>
  <c r="O11" i="1"/>
  <c r="Q11" i="1" s="1"/>
  <c r="H30" i="1" l="1"/>
  <c r="M30" i="1" s="1"/>
  <c r="O30" i="1" s="1"/>
  <c r="U23" i="1"/>
  <c r="M23" i="1"/>
  <c r="O23" i="1" s="1"/>
  <c r="Q23" i="1" s="1"/>
  <c r="J23" i="1"/>
  <c r="L23" i="1" s="1"/>
  <c r="Q30" i="1" l="1"/>
  <c r="R23" i="1"/>
  <c r="T23" i="1" s="1"/>
  <c r="J30" i="1"/>
  <c r="L30" i="1" s="1"/>
  <c r="U30" i="1"/>
  <c r="K33" i="1"/>
  <c r="K36" i="1" s="1"/>
  <c r="R30" i="1" l="1"/>
  <c r="T30" i="1" s="1"/>
  <c r="J34" i="1"/>
  <c r="L34" i="1" l="1"/>
  <c r="G17" i="1"/>
  <c r="N7" i="1"/>
  <c r="G39" i="1" l="1"/>
  <c r="H38" i="1"/>
  <c r="M38" i="1" s="1"/>
  <c r="M40" i="1" l="1"/>
  <c r="M39" i="1"/>
  <c r="O38" i="1"/>
  <c r="H39" i="1"/>
  <c r="J38" i="1"/>
  <c r="G15" i="1"/>
  <c r="O7" i="1"/>
  <c r="Q7" i="1" s="1"/>
  <c r="G6" i="1"/>
  <c r="M4" i="1"/>
  <c r="O4" i="1" s="1"/>
  <c r="L13" i="1" l="1"/>
  <c r="R13" i="1" s="1"/>
  <c r="T13" i="1" s="1"/>
  <c r="L12" i="1"/>
  <c r="R12" i="1" s="1"/>
  <c r="T12" i="1" s="1"/>
  <c r="L11" i="1"/>
  <c r="R11" i="1" s="1"/>
  <c r="T11" i="1" s="1"/>
  <c r="L9" i="1"/>
  <c r="R9" i="1" s="1"/>
  <c r="T9" i="1" s="1"/>
  <c r="L10" i="1"/>
  <c r="R10" i="1" s="1"/>
  <c r="T10" i="1" s="1"/>
  <c r="J39" i="1"/>
  <c r="I39" i="1" s="1"/>
  <c r="L38" i="1"/>
  <c r="Q38" i="1"/>
  <c r="R7" i="1"/>
  <c r="T7" i="1" s="1"/>
  <c r="Q4" i="1"/>
  <c r="L4" i="1"/>
  <c r="L39" i="1" l="1"/>
  <c r="K39" i="1" s="1"/>
  <c r="R38" i="1"/>
  <c r="R39" i="1" s="1"/>
  <c r="R4" i="1"/>
  <c r="T4" i="1" s="1"/>
  <c r="T38" i="1" l="1"/>
  <c r="T39" i="1" s="1"/>
  <c r="M5" i="1"/>
  <c r="O5" i="1" s="1"/>
  <c r="L5" i="1" l="1"/>
  <c r="Q5" i="1"/>
  <c r="R5" i="1" l="1"/>
  <c r="T5" i="1" s="1"/>
  <c r="U4" i="1" l="1"/>
  <c r="H21" i="1"/>
  <c r="L16" i="1" l="1"/>
  <c r="M16" i="1" l="1"/>
  <c r="O16" i="1" s="1"/>
  <c r="Q16" i="1" s="1"/>
  <c r="R16" i="1" s="1"/>
  <c r="T16" i="1" s="1"/>
  <c r="H28" i="1"/>
  <c r="G28" i="1"/>
  <c r="G37" i="1" l="1"/>
  <c r="H31" i="1"/>
  <c r="U31" i="1" s="1"/>
  <c r="H33" i="1"/>
  <c r="H29" i="1"/>
  <c r="U24" i="1"/>
  <c r="M24" i="1"/>
  <c r="J24" i="1"/>
  <c r="L24" i="1" s="1"/>
  <c r="U22" i="1"/>
  <c r="M22" i="1"/>
  <c r="J22" i="1"/>
  <c r="L22" i="1" s="1"/>
  <c r="O24" i="1" l="1"/>
  <c r="Q24" i="1" s="1"/>
  <c r="R24" i="1" s="1"/>
  <c r="T24" i="1" s="1"/>
  <c r="M31" i="1"/>
  <c r="J31" i="1"/>
  <c r="L31" i="1" s="1"/>
  <c r="O31" i="1" l="1"/>
  <c r="Q31" i="1" s="1"/>
  <c r="R31" i="1" s="1"/>
  <c r="T31" i="1" s="1"/>
  <c r="G21" i="1" l="1"/>
  <c r="G40" i="1" s="1"/>
  <c r="N17" i="1" l="1"/>
  <c r="N15" i="1"/>
  <c r="N8" i="1" l="1"/>
  <c r="N6" i="1"/>
  <c r="U36" i="1" l="1"/>
  <c r="U34" i="1"/>
  <c r="U33" i="1"/>
  <c r="U26" i="1"/>
  <c r="J33" i="1"/>
  <c r="O33" i="1"/>
  <c r="M34" i="1"/>
  <c r="J26" i="1"/>
  <c r="I28" i="1" s="1"/>
  <c r="O26" i="1"/>
  <c r="H37" i="1"/>
  <c r="M36" i="1"/>
  <c r="C17" i="2"/>
  <c r="D8" i="2" s="1"/>
  <c r="C6" i="2"/>
  <c r="C3" i="2"/>
  <c r="C5" i="2"/>
  <c r="C12" i="2"/>
  <c r="C14" i="2"/>
  <c r="C13" i="2"/>
  <c r="C10" i="2"/>
  <c r="C7" i="2"/>
  <c r="C11" i="2"/>
  <c r="H40" i="1" l="1"/>
  <c r="M37" i="1"/>
  <c r="D16" i="2"/>
  <c r="Q26" i="1"/>
  <c r="O34" i="1"/>
  <c r="Q34" i="1" s="1"/>
  <c r="R34" i="1" s="1"/>
  <c r="T34" i="1" s="1"/>
  <c r="O28" i="1"/>
  <c r="L26" i="1"/>
  <c r="L28" i="1" s="1"/>
  <c r="C4" i="2"/>
  <c r="Q33" i="1"/>
  <c r="L33" i="1"/>
  <c r="U37" i="1"/>
  <c r="U28" i="1"/>
  <c r="M28" i="1"/>
  <c r="O36" i="1" l="1"/>
  <c r="O37" i="1" s="1"/>
  <c r="R26" i="1"/>
  <c r="T26" i="1" s="1"/>
  <c r="R33" i="1"/>
  <c r="T33" i="1" s="1"/>
  <c r="Q28" i="1"/>
  <c r="Q36" i="1" l="1"/>
  <c r="Q37" i="1" s="1"/>
  <c r="R28" i="1"/>
  <c r="L14" i="1" l="1"/>
  <c r="G20" i="1"/>
  <c r="G19" i="1"/>
  <c r="M19" i="1" s="1"/>
  <c r="U14" i="1" l="1"/>
  <c r="O14" i="1"/>
  <c r="Q14" i="1" s="1"/>
  <c r="U20" i="1"/>
  <c r="M20" i="1"/>
  <c r="U19" i="1"/>
  <c r="O6" i="1"/>
  <c r="L6" i="1"/>
  <c r="U6" i="1"/>
  <c r="Q6" i="1" l="1"/>
  <c r="R6" i="1" s="1"/>
  <c r="T6" i="1" s="1"/>
  <c r="L19" i="1"/>
  <c r="O19" i="1"/>
  <c r="Q19" i="1" s="1"/>
  <c r="L20" i="1"/>
  <c r="R14" i="1"/>
  <c r="T14" i="1" s="1"/>
  <c r="O20" i="1"/>
  <c r="Q20" i="1" s="1"/>
  <c r="U21" i="1"/>
  <c r="L8" i="1"/>
  <c r="U8" i="1"/>
  <c r="O8" i="1"/>
  <c r="Q8" i="1" s="1"/>
  <c r="R19" i="1" l="1"/>
  <c r="T19" i="1" s="1"/>
  <c r="R20" i="1"/>
  <c r="T20" i="1" s="1"/>
  <c r="O15" i="1"/>
  <c r="Q15" i="1" s="1"/>
  <c r="O17" i="1"/>
  <c r="Q17" i="1" s="1"/>
  <c r="R8" i="1"/>
  <c r="T8" i="1" s="1"/>
  <c r="U15" i="1" l="1"/>
  <c r="U18" i="1"/>
  <c r="L18" i="1"/>
  <c r="L17" i="1"/>
  <c r="R17" i="1" s="1"/>
  <c r="T17" i="1" s="1"/>
  <c r="M18" i="1"/>
  <c r="O18" i="1" s="1"/>
  <c r="O21" i="1" s="1"/>
  <c r="N21" i="1" s="1"/>
  <c r="Q18" i="1" l="1"/>
  <c r="Q21" i="1" s="1"/>
  <c r="P21" i="1" s="1"/>
  <c r="O40" i="1"/>
  <c r="N40" i="1" s="1"/>
  <c r="J21" i="1"/>
  <c r="I21" i="1" s="1"/>
  <c r="L15" i="1"/>
  <c r="L21" i="1" s="1"/>
  <c r="R21" i="1" l="1"/>
  <c r="Q40" i="1"/>
  <c r="P40" i="1" s="1"/>
  <c r="R18" i="1"/>
  <c r="T18" i="1" s="1"/>
  <c r="R15" i="1"/>
  <c r="T15" i="1" s="1"/>
  <c r="T21" i="1" l="1"/>
  <c r="C15" i="2"/>
  <c r="M29" i="1" l="1"/>
  <c r="O29" i="1" s="1"/>
  <c r="Q29" i="1" s="1"/>
  <c r="U29" i="1"/>
  <c r="J29" i="1"/>
  <c r="J36" i="1" s="1"/>
  <c r="I36" i="1" s="1"/>
  <c r="L29" i="1" l="1"/>
  <c r="L36" i="1" s="1"/>
  <c r="J37" i="1"/>
  <c r="J40" i="1" l="1"/>
  <c r="I40" i="1" s="1"/>
  <c r="I37" i="1"/>
  <c r="R29" i="1"/>
  <c r="L37" i="1"/>
  <c r="K37" i="1" s="1"/>
  <c r="R36" i="1"/>
  <c r="L40" i="1" l="1"/>
  <c r="K40" i="1" s="1"/>
  <c r="T29" i="1"/>
  <c r="R37" i="1"/>
  <c r="R40" i="1" l="1"/>
  <c r="O22" i="1"/>
  <c r="Q22" i="1" s="1"/>
  <c r="R22" i="1" s="1"/>
  <c r="T22" i="1" l="1"/>
  <c r="T37" i="1" s="1"/>
  <c r="T40" i="1" s="1"/>
</calcChain>
</file>

<file path=xl/sharedStrings.xml><?xml version="1.0" encoding="utf-8"?>
<sst xmlns="http://schemas.openxmlformats.org/spreadsheetml/2006/main" count="152" uniqueCount="134">
  <si>
    <t>Frequency of Response (annual)</t>
  </si>
  <si>
    <t>Total Annual Responses</t>
  </si>
  <si>
    <t>Average Hours per Response</t>
  </si>
  <si>
    <t>Average Hours per response</t>
  </si>
  <si>
    <t>Total Burden Hours</t>
  </si>
  <si>
    <t>Subtotal</t>
  </si>
  <si>
    <t>Hospital record data manager</t>
  </si>
  <si>
    <t>Respondent Description</t>
  </si>
  <si>
    <t>Table A.3.1. Paper and electronic instruments by annual responses</t>
  </si>
  <si>
    <t>Paper Instruments</t>
  </si>
  <si>
    <t>Completed by</t>
  </si>
  <si>
    <t xml:space="preserve">Appendix C:  Participant Referral Form </t>
  </si>
  <si>
    <t>WIC Participant</t>
  </si>
  <si>
    <t>WIC Service Site staff</t>
  </si>
  <si>
    <t>Appendix FF:  State/local Key Informant Interview</t>
  </si>
  <si>
    <t>State/Local WIC personnel</t>
  </si>
  <si>
    <t xml:space="preserve">Appendix V:  Note sheet </t>
  </si>
  <si>
    <t>Daycare providers</t>
  </si>
  <si>
    <t>Appendix BB:  Home Health Care Provider Length/Weight</t>
  </si>
  <si>
    <t>Home health care providers (Westat staff)</t>
  </si>
  <si>
    <t>Subtotal paper instruments</t>
  </si>
  <si>
    <t>Electronic Instruments</t>
  </si>
  <si>
    <t>Appendices E:  Screening &amp; Enrollment Participant Interviews</t>
  </si>
  <si>
    <t>Westat recruiters</t>
  </si>
  <si>
    <t>Appendices I-S:  Participant Interviews</t>
  </si>
  <si>
    <t>Westat interviewers</t>
  </si>
  <si>
    <t>Appendix EE:  Local WIC Staff Online Survey</t>
  </si>
  <si>
    <t>Appendix Y:  WIC Administrative Data Request</t>
  </si>
  <si>
    <t>State/local WIC personnel</t>
  </si>
  <si>
    <t>Appendix Z:  Hospital Data Request</t>
  </si>
  <si>
    <t xml:space="preserve">Appendix AA:  Provider Data Request </t>
  </si>
  <si>
    <t>Health care provider data manager</t>
  </si>
  <si>
    <t>Subtotal electronic instruments</t>
  </si>
  <si>
    <t>Total</t>
  </si>
  <si>
    <t>Respondent Type</t>
  </si>
  <si>
    <t>Sub-Total Annual Burden</t>
  </si>
  <si>
    <t>Hourly Rate</t>
  </si>
  <si>
    <t>Total Annualized Cost</t>
  </si>
  <si>
    <t>State/Local Government Subtotal</t>
  </si>
  <si>
    <t>GRAND TOTAL</t>
  </si>
  <si>
    <t>%</t>
  </si>
  <si>
    <t>Individuals and Households</t>
  </si>
  <si>
    <t>Type of Study Activity</t>
  </si>
  <si>
    <t>Caregivers of 
former WIC children</t>
  </si>
  <si>
    <t>State WIC staff point of contact</t>
  </si>
  <si>
    <t>Number of Respondents</t>
  </si>
  <si>
    <t>Number of non -respondents</t>
  </si>
  <si>
    <t>M</t>
  </si>
  <si>
    <t>N</t>
  </si>
  <si>
    <t>L1</t>
  </si>
  <si>
    <t>L2</t>
  </si>
  <si>
    <t xml:space="preserve">WIC site staff 
</t>
  </si>
  <si>
    <t>D1/D2</t>
  </si>
  <si>
    <t>C1/C2</t>
  </si>
  <si>
    <t>State Government</t>
  </si>
  <si>
    <t>Local Government</t>
  </si>
  <si>
    <t>A1/A2</t>
  </si>
  <si>
    <t>H1/H2</t>
  </si>
  <si>
    <t>F1/F2</t>
  </si>
  <si>
    <t>I1/I2</t>
  </si>
  <si>
    <t>J1/J2</t>
  </si>
  <si>
    <t>K1/K2</t>
  </si>
  <si>
    <t>G1/G2</t>
  </si>
  <si>
    <t xml:space="preserve">Profit/Non-Profit Business </t>
  </si>
  <si>
    <t>Profit/Non-Profit Business Subtotal</t>
  </si>
  <si>
    <t>Health care provider</t>
  </si>
  <si>
    <t>Sample size (a)</t>
  </si>
  <si>
    <r>
      <rPr>
        <sz val="10"/>
        <rFont val="Calibri"/>
        <family val="2"/>
        <scheme val="minor"/>
      </rPr>
      <t xml:space="preserve">(a) </t>
    </r>
    <r>
      <rPr>
        <b/>
        <sz val="10"/>
        <rFont val="Calibri"/>
        <family val="2"/>
        <scheme val="minor"/>
      </rPr>
      <t xml:space="preserve"> </t>
    </r>
    <r>
      <rPr>
        <sz val="10"/>
        <rFont val="Calibri"/>
        <family val="2"/>
        <scheme val="minor"/>
      </rPr>
      <t>4046 = base study total live birth cohort, out of 4367 enrolled initially.</t>
    </r>
  </si>
  <si>
    <t>Appendices</t>
  </si>
  <si>
    <t>Study extension consent age 6 (b)</t>
  </si>
  <si>
    <t>Study extension letter (b)</t>
  </si>
  <si>
    <t>72-mo advance letter (c)</t>
  </si>
  <si>
    <t>72-mo telephone interview (d )</t>
  </si>
  <si>
    <t>72-mo replicate dietary intake interview (e)</t>
  </si>
  <si>
    <r>
      <rPr>
        <sz val="10"/>
        <rFont val="Calibri"/>
        <family val="2"/>
        <scheme val="minor"/>
      </rPr>
      <t xml:space="preserve">(b) </t>
    </r>
    <r>
      <rPr>
        <b/>
        <sz val="10"/>
        <rFont val="Calibri"/>
        <family val="2"/>
        <scheme val="minor"/>
      </rPr>
      <t xml:space="preserve"> </t>
    </r>
    <r>
      <rPr>
        <sz val="10"/>
        <rFont val="Calibri"/>
        <family val="2"/>
        <scheme val="minor"/>
      </rPr>
      <t xml:space="preserve">4046 = base study total live birth cohort. Study attrition has been about 6% per per year (e.g., 4046*.94*.94*.94*.94*.94=2,969) so assume 2,969 will be sent study extension letter and consent for age 6 extension. </t>
    </r>
  </si>
  <si>
    <t xml:space="preserve">(c)  Only those who are still enrolled in the study after the age 5 interview (estimated 2969) will receive the advance letter. Assume 85% will read the advance letter. </t>
  </si>
  <si>
    <t>(e)  Assume 15% of completes will be sampled for 2nd AMPM and 67% will complete 2nd AMPM</t>
  </si>
  <si>
    <t>E1a/E1b</t>
  </si>
  <si>
    <t>E2a/E2b</t>
  </si>
  <si>
    <t>Reminders for interview from Study Liaison (f)</t>
  </si>
  <si>
    <t>Reminders for non-locatable active interview - English (g)</t>
  </si>
  <si>
    <t>E3a/E3b</t>
  </si>
  <si>
    <t>Reminders for study participation refusal conversion (h)</t>
  </si>
  <si>
    <t>Reminders for study participation not answering calls (i)</t>
  </si>
  <si>
    <t>E4a/E4b</t>
  </si>
  <si>
    <t>E5a/E5b</t>
  </si>
  <si>
    <t>Reminders for Telephone Research Center voicemail, first message (j)</t>
  </si>
  <si>
    <t>E6a/E6b</t>
  </si>
  <si>
    <t>Reminders for Telephone Reseach Center voicemail, expiring interview (k)</t>
  </si>
  <si>
    <t>B1/B2</t>
  </si>
  <si>
    <t xml:space="preserve">O1 </t>
  </si>
  <si>
    <t>O2</t>
  </si>
  <si>
    <t>O1</t>
  </si>
  <si>
    <t>P</t>
  </si>
  <si>
    <t>(l)  Assume 70% of respondents to the 72-mo interview will go to the WIC site or their provider for H/W measurement.  Assume 1 hour for reading letter, travel to/from WIC site or provider, and measuring child.</t>
  </si>
  <si>
    <t>(o)  Assume 100% of respondents will have a valid email/text/mail address to receive thank you.</t>
  </si>
  <si>
    <t>(p)  Assume 100% of cohort will receive the card.</t>
  </si>
  <si>
    <t>(t)  Assumes 1 conf. call with state and 1 conf. call with site with 1 point of contact per site.</t>
  </si>
  <si>
    <t>72- mo H/W measurement (l)</t>
  </si>
  <si>
    <t>Height and weight reminders (m)</t>
  </si>
  <si>
    <t>72-mo text or email provider measures (n)</t>
  </si>
  <si>
    <t>72-mo thank you (o)</t>
  </si>
  <si>
    <t>Birthday card respondent year 6 (p)</t>
  </si>
  <si>
    <t>D3/D4</t>
  </si>
  <si>
    <t>Birthday card child age 6 (p)</t>
  </si>
  <si>
    <t>Individuals and Households Subtotal (q)</t>
  </si>
  <si>
    <t xml:space="preserve">(q)  Unique respondents is equal to the largest category of respondents, those who receive the study extension letter and consent form.  Total number of nonrespondents is equal to the largest category of nonrespondents, those who do not complete the 72-month interview. </t>
  </si>
  <si>
    <t>Announcement of study extension (r)</t>
  </si>
  <si>
    <t>Extension to age 6 webinar (s)</t>
  </si>
  <si>
    <t>Conference calls on extension (t)</t>
  </si>
  <si>
    <t>(r)  Study extension notice sent to all 27 states and 1 point of contact from each of the 80 sites.</t>
  </si>
  <si>
    <t xml:space="preserve">(s)  Assume study extension webinar attended by all 27 states and 1 point of contact from each of the 80 sites. </t>
  </si>
  <si>
    <t>Study extension summary and agreement (u)</t>
  </si>
  <si>
    <t>Request for contact information (w)</t>
  </si>
  <si>
    <t>Addendum A to study extension summary (u)</t>
  </si>
  <si>
    <t>Conference call on extension (t)</t>
  </si>
  <si>
    <t>Request for contact information (v)</t>
  </si>
  <si>
    <t>(u)  Assume 1 person in state office and 1 person per site will review the study extension summary agreement and Addendum A.</t>
  </si>
  <si>
    <t>(v) Assume 14 states responsible for 40 sites will agree to be the point-of-contact to look in WIC records for updated contact information on non-located participants and that 9 requests for updated information will be made for each state.</t>
  </si>
  <si>
    <t>(w)  Assume 40 sites will agree to be the point-of-contact to look in WIC records for updated contact information on non-located participants and that 3 requests for updated information will be made for each site.</t>
  </si>
  <si>
    <t>H/W measurement (x)</t>
  </si>
  <si>
    <t>H/W measurement (y)</t>
  </si>
  <si>
    <t>(x)  Assume 36% of participants will go to WIC to have their child measured with an average of 6 children measured per site ((1,331*.36)/80=6). Assume 10 minutes of staff time for measurements per child.</t>
  </si>
  <si>
    <t>(y)  Assume 64% of participants will have their children measured at their health care providers' office. Assume 10 minutes of staff time for measurements per child.</t>
  </si>
  <si>
    <t>(n)  Assume 20% of those who complete the interview will talk to the study liaison about texting or emailing a copy of their provider measure from a recent visit and 10% will do so.</t>
  </si>
  <si>
    <t>(m)  Assume potential respondents for  72-mo HT/WT measures will get an average of 1 reminder to go to WIC or their doctor's office to have their child measured.</t>
  </si>
  <si>
    <t>(d)  Of those still enrolled in the study (2,969) -- assume 64% will complete 72-month telephone interview</t>
  </si>
  <si>
    <t>(f) Assume 40% of those still enrolled in the study will receive a reminder call</t>
  </si>
  <si>
    <t>(g) Assume 5% of those still enrolled in the study will be non-locatable and will receive a reminder</t>
  </si>
  <si>
    <t>(h) Assume 5% of those still enrolled in the study will refuse and receive a refusal conversion letter</t>
  </si>
  <si>
    <t>(i) Assume 10% of those still enrolled in the study will not answer calls and will receive this reminder.</t>
  </si>
  <si>
    <t>(j) Assume 85% of those still enrolled in the study will receive this reminder.</t>
  </si>
  <si>
    <t>(k)  Assume 15% of those still enrolled in the study will receive this reminder.</t>
  </si>
  <si>
    <t>Appendix V - Burden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</si>
</sst>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0.0000"/>
    <numFmt numFmtId="165" formatCode="_(* #,##0_);_(* \(#,##0\);_(* &quot;-&quot;??_);_(@_)"/>
    <numFmt numFmtId="166" formatCode="&quot;$&quot;#,##0.00"/>
    <numFmt numFmtId="167" formatCode="0.0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Garamond"/>
      <family val="1"/>
    </font>
    <font>
      <b/>
      <sz val="11"/>
      <color theme="1"/>
      <name val="Calibri"/>
      <family val="2"/>
    </font>
    <font>
      <sz val="11"/>
      <color theme="1"/>
      <name val="Calibri"/>
      <family val="2"/>
    </font>
    <font>
      <b/>
      <i/>
      <sz val="11"/>
      <color theme="1"/>
      <name val="Calibri"/>
      <family val="2"/>
    </font>
    <font>
      <sz val="11"/>
      <name val="Calibri"/>
      <family val="2"/>
      <scheme val="minor"/>
    </font>
    <font>
      <sz val="8"/>
      <color theme="1"/>
      <name val="Calibri"/>
      <family val="2"/>
      <scheme val="minor"/>
    </font>
    <font>
      <b/>
      <sz val="8"/>
      <color rgb="FF000000"/>
      <name val="Calibri"/>
      <family val="2"/>
    </font>
    <font>
      <sz val="11"/>
      <color rgb="FFFF0000"/>
      <name val="Calibri"/>
      <family val="2"/>
      <scheme val="minor"/>
    </font>
    <font>
      <b/>
      <sz val="10"/>
      <name val="Calibri"/>
      <family val="2"/>
    </font>
    <font>
      <sz val="10"/>
      <name val="Calibri"/>
      <family val="2"/>
      <scheme val="minor"/>
    </font>
    <font>
      <sz val="10"/>
      <name val="Calibri"/>
      <family val="2"/>
    </font>
    <font>
      <b/>
      <sz val="10"/>
      <name val="Calibri"/>
      <family val="2"/>
      <scheme val="minor"/>
    </font>
    <font>
      <b/>
      <sz val="11"/>
      <name val="Calibri"/>
      <family val="2"/>
      <scheme val="minor"/>
    </font>
  </fonts>
  <fills count="8">
    <fill>
      <patternFill patternType="none"/>
    </fill>
    <fill>
      <patternFill patternType="gray125"/>
    </fill>
    <fill>
      <patternFill patternType="solid">
        <fgColor rgb="FFD9D9D9"/>
        <bgColor indexed="64"/>
      </patternFill>
    </fill>
    <fill>
      <patternFill patternType="solid">
        <fgColor rgb="FFF2F2F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A6A6A6"/>
        <bgColor indexed="64"/>
      </patternFill>
    </fill>
  </fills>
  <borders count="44">
    <border>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top/>
      <bottom style="thin">
        <color indexed="64"/>
      </bottom>
      <diagonal/>
    </border>
    <border>
      <left style="thin">
        <color indexed="64"/>
      </left>
      <right/>
      <top style="thick">
        <color indexed="64"/>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45">
    <xf numFmtId="0" fontId="0" fillId="0" borderId="0" xfId="0"/>
    <xf numFmtId="0" fontId="0" fillId="0" borderId="4" xfId="0" applyBorder="1"/>
    <xf numFmtId="0" fontId="3" fillId="0" borderId="0" xfId="0" applyFont="1" applyAlignment="1">
      <alignment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wrapText="1"/>
    </xf>
    <xf numFmtId="0" fontId="5" fillId="3" borderId="2" xfId="0" applyFont="1" applyFill="1" applyBorder="1" applyAlignment="1">
      <alignment vertical="center"/>
    </xf>
    <xf numFmtId="0" fontId="5" fillId="3" borderId="1" xfId="0" applyFont="1" applyFill="1" applyBorder="1" applyAlignment="1">
      <alignment horizontal="center" vertical="center" wrapText="1"/>
    </xf>
    <xf numFmtId="3" fontId="5" fillId="3" borderId="8" xfId="0" applyNumberFormat="1" applyFont="1" applyFill="1" applyBorder="1" applyAlignment="1">
      <alignment horizontal="right" vertical="center"/>
    </xf>
    <xf numFmtId="0" fontId="5" fillId="3" borderId="1" xfId="0" applyFont="1" applyFill="1" applyBorder="1" applyAlignment="1">
      <alignment horizontal="right" vertical="center" wrapText="1"/>
    </xf>
    <xf numFmtId="0" fontId="5" fillId="3" borderId="2" xfId="0" applyFont="1" applyFill="1" applyBorder="1" applyAlignment="1">
      <alignment horizontal="justify" vertical="center"/>
    </xf>
    <xf numFmtId="0" fontId="6" fillId="3" borderId="2" xfId="0" applyFont="1" applyFill="1" applyBorder="1" applyAlignment="1">
      <alignment vertical="center"/>
    </xf>
    <xf numFmtId="0" fontId="6" fillId="3"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wrapText="1"/>
    </xf>
    <xf numFmtId="2" fontId="5" fillId="3" borderId="8" xfId="0" applyNumberFormat="1" applyFont="1" applyFill="1" applyBorder="1" applyAlignment="1">
      <alignment horizontal="right" vertical="center"/>
    </xf>
    <xf numFmtId="0" fontId="6" fillId="3" borderId="10" xfId="0" applyFont="1" applyFill="1" applyBorder="1" applyAlignment="1">
      <alignment vertical="center"/>
    </xf>
    <xf numFmtId="0" fontId="6" fillId="3" borderId="11" xfId="0" applyFont="1" applyFill="1" applyBorder="1" applyAlignment="1">
      <alignment horizontal="center" vertical="center" wrapText="1"/>
    </xf>
    <xf numFmtId="0" fontId="5" fillId="3" borderId="4" xfId="0" applyFont="1" applyFill="1" applyBorder="1" applyAlignment="1">
      <alignment vertical="center"/>
    </xf>
    <xf numFmtId="3" fontId="6" fillId="3" borderId="0" xfId="0" applyNumberFormat="1" applyFont="1" applyFill="1" applyBorder="1" applyAlignment="1">
      <alignment vertical="center"/>
    </xf>
    <xf numFmtId="3" fontId="2" fillId="0" borderId="6" xfId="0" applyNumberFormat="1" applyFont="1" applyBorder="1" applyAlignment="1">
      <alignment horizontal="right"/>
    </xf>
    <xf numFmtId="3" fontId="2" fillId="0" borderId="5" xfId="0" applyNumberFormat="1" applyFont="1" applyBorder="1" applyAlignment="1">
      <alignment horizontal="right"/>
    </xf>
    <xf numFmtId="9" fontId="6" fillId="3" borderId="1" xfId="1" applyFont="1" applyFill="1" applyBorder="1" applyAlignment="1">
      <alignment horizontal="center" vertical="center" wrapText="1"/>
    </xf>
    <xf numFmtId="9" fontId="6" fillId="3" borderId="11" xfId="1" applyFont="1" applyFill="1" applyBorder="1" applyAlignment="1">
      <alignment horizontal="center" vertical="center" wrapText="1"/>
    </xf>
    <xf numFmtId="4" fontId="5" fillId="3" borderId="8" xfId="0" applyNumberFormat="1" applyFont="1" applyFill="1" applyBorder="1" applyAlignment="1">
      <alignment horizontal="right" vertical="center"/>
    </xf>
    <xf numFmtId="4" fontId="6" fillId="3" borderId="8" xfId="0" applyNumberFormat="1" applyFont="1" applyFill="1" applyBorder="1" applyAlignment="1">
      <alignment horizontal="right" vertical="center"/>
    </xf>
    <xf numFmtId="0" fontId="7" fillId="0" borderId="0" xfId="0" applyFont="1"/>
    <xf numFmtId="0" fontId="7" fillId="0" borderId="0" xfId="0" applyFont="1" applyAlignment="1">
      <alignment horizontal="center"/>
    </xf>
    <xf numFmtId="164" fontId="7" fillId="0" borderId="0" xfId="0" applyNumberFormat="1" applyFont="1"/>
    <xf numFmtId="9" fontId="8" fillId="0" borderId="0" xfId="1" applyFont="1" applyFill="1"/>
    <xf numFmtId="3" fontId="0" fillId="0" borderId="0" xfId="0" applyNumberFormat="1" applyFill="1"/>
    <xf numFmtId="0" fontId="0" fillId="0" borderId="0" xfId="0" applyFill="1"/>
    <xf numFmtId="0" fontId="2" fillId="0" borderId="0" xfId="0" applyFont="1" applyFill="1"/>
    <xf numFmtId="9" fontId="8" fillId="0" borderId="0" xfId="1" applyFont="1" applyFill="1" applyBorder="1"/>
    <xf numFmtId="3" fontId="0" fillId="0" borderId="0" xfId="0" applyNumberFormat="1" applyFill="1" applyBorder="1"/>
    <xf numFmtId="0" fontId="0" fillId="0" borderId="0" xfId="0" applyFill="1" applyBorder="1"/>
    <xf numFmtId="3" fontId="7" fillId="0" borderId="0" xfId="0" applyNumberFormat="1" applyFont="1"/>
    <xf numFmtId="9" fontId="8" fillId="0" borderId="0" xfId="1" applyFont="1" applyFill="1" applyAlignment="1">
      <alignment vertical="center"/>
    </xf>
    <xf numFmtId="3" fontId="0" fillId="0" borderId="0" xfId="0" applyNumberForma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3" fontId="13" fillId="0" borderId="14" xfId="0" applyNumberFormat="1" applyFont="1" applyFill="1" applyBorder="1" applyAlignment="1">
      <alignment horizontal="right" vertical="center" wrapText="1"/>
    </xf>
    <xf numFmtId="1" fontId="13" fillId="0" borderId="14" xfId="0" applyNumberFormat="1" applyFont="1" applyFill="1" applyBorder="1" applyAlignment="1">
      <alignment horizontal="right" vertical="center"/>
    </xf>
    <xf numFmtId="2" fontId="13" fillId="0" borderId="14" xfId="0" applyNumberFormat="1" applyFont="1" applyFill="1" applyBorder="1" applyAlignment="1">
      <alignment horizontal="right" vertical="center"/>
    </xf>
    <xf numFmtId="4" fontId="13" fillId="0" borderId="24" xfId="0" applyNumberFormat="1" applyFont="1" applyFill="1" applyBorder="1" applyAlignment="1">
      <alignment horizontal="right" vertical="center"/>
    </xf>
    <xf numFmtId="2" fontId="13" fillId="0" borderId="14" xfId="0" applyNumberFormat="1" applyFont="1" applyFill="1" applyBorder="1" applyAlignment="1">
      <alignment horizontal="right" vertical="center" wrapText="1"/>
    </xf>
    <xf numFmtId="2" fontId="13" fillId="0" borderId="24" xfId="0" applyNumberFormat="1" applyFont="1" applyFill="1" applyBorder="1" applyAlignment="1">
      <alignment horizontal="right" vertical="center" wrapText="1"/>
    </xf>
    <xf numFmtId="4" fontId="13" fillId="0" borderId="27" xfId="0" applyNumberFormat="1" applyFont="1" applyFill="1" applyBorder="1" applyAlignment="1">
      <alignment horizontal="right" vertical="center" wrapText="1"/>
    </xf>
    <xf numFmtId="166" fontId="13" fillId="0" borderId="14" xfId="3" applyNumberFormat="1" applyFont="1" applyFill="1" applyBorder="1" applyAlignment="1">
      <alignment horizontal="center" vertical="center" wrapText="1"/>
    </xf>
    <xf numFmtId="166" fontId="13" fillId="0" borderId="14" xfId="3"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xf>
    <xf numFmtId="1" fontId="13" fillId="0" borderId="4" xfId="0" applyNumberFormat="1" applyFont="1" applyFill="1" applyBorder="1" applyAlignment="1">
      <alignment horizontal="right" vertical="center"/>
    </xf>
    <xf numFmtId="2" fontId="13" fillId="0" borderId="4" xfId="0" applyNumberFormat="1" applyFont="1" applyFill="1" applyBorder="1" applyAlignment="1">
      <alignment horizontal="right" vertical="center"/>
    </xf>
    <xf numFmtId="4" fontId="13" fillId="0" borderId="6" xfId="0" applyNumberFormat="1" applyFont="1" applyFill="1" applyBorder="1" applyAlignment="1">
      <alignment horizontal="right" vertical="center"/>
    </xf>
    <xf numFmtId="2" fontId="13" fillId="0" borderId="4" xfId="0" applyNumberFormat="1" applyFont="1" applyFill="1" applyBorder="1" applyAlignment="1">
      <alignment horizontal="right" vertical="center" wrapText="1"/>
    </xf>
    <xf numFmtId="2" fontId="13" fillId="0" borderId="6" xfId="0" applyNumberFormat="1" applyFont="1" applyFill="1" applyBorder="1" applyAlignment="1">
      <alignment horizontal="right" vertical="center" wrapText="1"/>
    </xf>
    <xf numFmtId="4" fontId="13" fillId="0" borderId="21" xfId="0" applyNumberFormat="1" applyFont="1" applyFill="1" applyBorder="1" applyAlignment="1">
      <alignment horizontal="right" vertical="center" wrapText="1"/>
    </xf>
    <xf numFmtId="166" fontId="13" fillId="0" borderId="4" xfId="3" applyNumberFormat="1" applyFont="1" applyFill="1" applyBorder="1" applyAlignment="1">
      <alignment horizontal="center" vertical="center" wrapText="1"/>
    </xf>
    <xf numFmtId="166" fontId="13" fillId="0" borderId="4" xfId="3" applyNumberFormat="1" applyFont="1" applyFill="1" applyBorder="1" applyAlignment="1">
      <alignment horizontal="right"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center" wrapText="1"/>
    </xf>
    <xf numFmtId="3" fontId="13" fillId="0" borderId="21" xfId="0" applyNumberFormat="1" applyFont="1" applyFill="1" applyBorder="1" applyAlignment="1">
      <alignment horizontal="right" vertical="center" wrapText="1"/>
    </xf>
    <xf numFmtId="4" fontId="13" fillId="0" borderId="6" xfId="2" applyNumberFormat="1" applyFont="1" applyFill="1" applyBorder="1" applyAlignment="1">
      <alignment horizontal="right" vertical="center"/>
    </xf>
    <xf numFmtId="0" fontId="13" fillId="0" borderId="4" xfId="0" applyFont="1" applyFill="1" applyBorder="1" applyAlignment="1">
      <alignment horizontal="center" vertical="center"/>
    </xf>
    <xf numFmtId="0" fontId="13" fillId="0" borderId="13" xfId="0" applyFont="1" applyFill="1" applyBorder="1" applyAlignment="1">
      <alignment horizontal="center" wrapText="1"/>
    </xf>
    <xf numFmtId="3" fontId="13" fillId="0" borderId="13" xfId="0" applyNumberFormat="1" applyFont="1" applyFill="1" applyBorder="1" applyAlignment="1">
      <alignment horizontal="right" vertical="center" wrapText="1"/>
    </xf>
    <xf numFmtId="1" fontId="13" fillId="0" borderId="13" xfId="0" applyNumberFormat="1" applyFont="1" applyFill="1" applyBorder="1" applyAlignment="1">
      <alignment horizontal="right" vertical="center"/>
    </xf>
    <xf numFmtId="2" fontId="13" fillId="0" borderId="13" xfId="0" applyNumberFormat="1" applyFont="1" applyFill="1" applyBorder="1" applyAlignment="1">
      <alignment horizontal="right" vertical="center"/>
    </xf>
    <xf numFmtId="4" fontId="13" fillId="0" borderId="20" xfId="0" applyNumberFormat="1" applyFont="1" applyFill="1" applyBorder="1" applyAlignment="1">
      <alignment horizontal="right" vertical="center"/>
    </xf>
    <xf numFmtId="2" fontId="13" fillId="0" borderId="13" xfId="0" applyNumberFormat="1" applyFont="1" applyFill="1" applyBorder="1" applyAlignment="1">
      <alignment horizontal="right" vertical="center" wrapText="1"/>
    </xf>
    <xf numFmtId="2" fontId="13" fillId="0" borderId="20" xfId="0" applyNumberFormat="1" applyFont="1" applyFill="1" applyBorder="1" applyAlignment="1">
      <alignment horizontal="right" vertical="center" wrapText="1"/>
    </xf>
    <xf numFmtId="4" fontId="13" fillId="0" borderId="26" xfId="0" applyNumberFormat="1" applyFont="1" applyFill="1" applyBorder="1" applyAlignment="1">
      <alignment horizontal="right" vertical="center" wrapText="1"/>
    </xf>
    <xf numFmtId="166" fontId="13" fillId="0" borderId="13" xfId="3" applyNumberFormat="1" applyFont="1" applyFill="1" applyBorder="1" applyAlignment="1">
      <alignment horizontal="center" vertical="center" wrapText="1"/>
    </xf>
    <xf numFmtId="166" fontId="13" fillId="0" borderId="13" xfId="3" applyNumberFormat="1" applyFont="1" applyFill="1" applyBorder="1" applyAlignment="1">
      <alignment horizontal="right" vertical="center" wrapText="1"/>
    </xf>
    <xf numFmtId="0" fontId="11" fillId="0" borderId="15" xfId="0" applyFont="1" applyFill="1" applyBorder="1" applyAlignment="1">
      <alignment horizontal="center" vertical="center" wrapText="1"/>
    </xf>
    <xf numFmtId="3" fontId="11" fillId="0" borderId="15" xfId="0" applyNumberFormat="1" applyFont="1" applyFill="1" applyBorder="1" applyAlignment="1">
      <alignment horizontal="right" vertical="center" wrapText="1"/>
    </xf>
    <xf numFmtId="165" fontId="11" fillId="0" borderId="15" xfId="2" applyNumberFormat="1" applyFont="1" applyFill="1" applyBorder="1" applyAlignment="1">
      <alignment horizontal="right" vertical="center"/>
    </xf>
    <xf numFmtId="2" fontId="11" fillId="0" borderId="15" xfId="2" applyNumberFormat="1" applyFont="1" applyFill="1" applyBorder="1" applyAlignment="1">
      <alignment horizontal="right" vertical="center"/>
    </xf>
    <xf numFmtId="4" fontId="11" fillId="0" borderId="25" xfId="2" applyNumberFormat="1" applyFont="1" applyFill="1" applyBorder="1" applyAlignment="1">
      <alignment horizontal="right" vertical="center"/>
    </xf>
    <xf numFmtId="3" fontId="11" fillId="0" borderId="15" xfId="2" applyNumberFormat="1" applyFont="1" applyFill="1" applyBorder="1" applyAlignment="1">
      <alignment horizontal="right" vertical="center"/>
    </xf>
    <xf numFmtId="2" fontId="11" fillId="0" borderId="25" xfId="2" applyNumberFormat="1" applyFont="1" applyFill="1" applyBorder="1" applyAlignment="1">
      <alignment horizontal="right" vertical="center"/>
    </xf>
    <xf numFmtId="4" fontId="11" fillId="0" borderId="23" xfId="2" applyNumberFormat="1" applyFont="1" applyFill="1" applyBorder="1" applyAlignment="1">
      <alignment horizontal="right" vertical="center" wrapText="1"/>
    </xf>
    <xf numFmtId="166" fontId="13" fillId="0" borderId="15" xfId="3" applyNumberFormat="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4" xfId="0" applyFont="1" applyFill="1" applyBorder="1" applyAlignment="1">
      <alignment horizontal="right" vertical="center" wrapText="1"/>
    </xf>
    <xf numFmtId="1" fontId="13" fillId="0" borderId="14" xfId="0" applyNumberFormat="1" applyFont="1" applyFill="1" applyBorder="1" applyAlignment="1">
      <alignment horizontal="right" vertical="center" wrapText="1"/>
    </xf>
    <xf numFmtId="0" fontId="13" fillId="0" borderId="4" xfId="0" applyFont="1" applyFill="1" applyBorder="1" applyAlignment="1">
      <alignment horizontal="right" vertical="center" wrapText="1"/>
    </xf>
    <xf numFmtId="1" fontId="13" fillId="0" borderId="4" xfId="0" applyNumberFormat="1" applyFont="1" applyFill="1" applyBorder="1" applyAlignment="1">
      <alignment horizontal="right" vertical="center" wrapText="1"/>
    </xf>
    <xf numFmtId="3" fontId="13" fillId="0" borderId="21" xfId="0" applyNumberFormat="1" applyFont="1" applyFill="1" applyBorder="1" applyAlignment="1">
      <alignment horizontal="right" vertical="center"/>
    </xf>
    <xf numFmtId="2" fontId="13" fillId="0" borderId="6" xfId="0" applyNumberFormat="1" applyFont="1" applyFill="1" applyBorder="1" applyAlignment="1">
      <alignment horizontal="right" vertical="center"/>
    </xf>
    <xf numFmtId="165" fontId="13" fillId="0" borderId="4" xfId="2" applyNumberFormat="1" applyFont="1" applyFill="1" applyBorder="1" applyAlignment="1">
      <alignment horizontal="right" vertical="center" wrapText="1"/>
    </xf>
    <xf numFmtId="0" fontId="11" fillId="0" borderId="15" xfId="0" applyFont="1" applyFill="1" applyBorder="1" applyAlignment="1">
      <alignment horizontal="center" wrapText="1"/>
    </xf>
    <xf numFmtId="165" fontId="11" fillId="0" borderId="15" xfId="2" applyNumberFormat="1" applyFont="1" applyFill="1" applyBorder="1" applyAlignment="1">
      <alignment horizontal="right" vertical="center" wrapText="1"/>
    </xf>
    <xf numFmtId="39" fontId="11" fillId="0" borderId="15" xfId="2" applyNumberFormat="1" applyFont="1" applyFill="1" applyBorder="1" applyAlignment="1">
      <alignment horizontal="right" vertical="center" wrapText="1"/>
    </xf>
    <xf numFmtId="4" fontId="11" fillId="0" borderId="25" xfId="0" applyNumberFormat="1" applyFont="1" applyFill="1" applyBorder="1" applyAlignment="1">
      <alignment horizontal="right" vertical="center" wrapText="1"/>
    </xf>
    <xf numFmtId="3" fontId="11" fillId="0" borderId="23" xfId="0" applyNumberFormat="1" applyFont="1" applyFill="1" applyBorder="1" applyAlignment="1">
      <alignment horizontal="right" vertical="center" wrapText="1"/>
    </xf>
    <xf numFmtId="2" fontId="14" fillId="0" borderId="15" xfId="0" applyNumberFormat="1" applyFont="1" applyFill="1" applyBorder="1" applyAlignment="1">
      <alignment horizontal="right" vertical="center"/>
    </xf>
    <xf numFmtId="2" fontId="11" fillId="0" borderId="25" xfId="0" applyNumberFormat="1" applyFont="1" applyFill="1" applyBorder="1" applyAlignment="1">
      <alignment horizontal="right" vertical="center" wrapText="1"/>
    </xf>
    <xf numFmtId="4" fontId="11" fillId="0" borderId="23" xfId="0" applyNumberFormat="1" applyFont="1" applyFill="1" applyBorder="1" applyAlignment="1">
      <alignment horizontal="right" vertical="center" wrapText="1"/>
    </xf>
    <xf numFmtId="166" fontId="11" fillId="0" borderId="15" xfId="3" applyNumberFormat="1" applyFont="1" applyFill="1" applyBorder="1" applyAlignment="1">
      <alignment horizontal="right" vertical="center" wrapText="1"/>
    </xf>
    <xf numFmtId="0" fontId="7" fillId="0" borderId="0" xfId="0" applyFont="1" applyFill="1"/>
    <xf numFmtId="0" fontId="7" fillId="0" borderId="0" xfId="0" applyFont="1" applyFill="1" applyAlignment="1">
      <alignment horizontal="center"/>
    </xf>
    <xf numFmtId="3" fontId="13" fillId="0" borderId="14" xfId="0" applyNumberFormat="1" applyFont="1" applyFill="1" applyBorder="1" applyAlignment="1">
      <alignment horizontal="right" vertical="center"/>
    </xf>
    <xf numFmtId="165" fontId="13" fillId="0" borderId="14" xfId="2" applyNumberFormat="1" applyFont="1" applyFill="1" applyBorder="1" applyAlignment="1">
      <alignment horizontal="right" vertical="center"/>
    </xf>
    <xf numFmtId="3" fontId="13" fillId="0" borderId="27" xfId="2" applyNumberFormat="1" applyFont="1" applyFill="1" applyBorder="1" applyAlignment="1">
      <alignment horizontal="right" vertical="center" wrapText="1"/>
    </xf>
    <xf numFmtId="3" fontId="13" fillId="0" borderId="14" xfId="2" applyNumberFormat="1" applyFont="1" applyFill="1" applyBorder="1" applyAlignment="1">
      <alignment horizontal="right" vertical="center" wrapText="1"/>
    </xf>
    <xf numFmtId="3" fontId="13" fillId="0" borderId="21" xfId="2" applyNumberFormat="1" applyFont="1" applyFill="1" applyBorder="1" applyAlignment="1">
      <alignment horizontal="right" vertical="center" wrapText="1"/>
    </xf>
    <xf numFmtId="3" fontId="13" fillId="0" borderId="4" xfId="2" applyNumberFormat="1" applyFont="1" applyFill="1" applyBorder="1" applyAlignment="1">
      <alignment horizontal="right" vertical="center" wrapText="1"/>
    </xf>
    <xf numFmtId="3" fontId="13" fillId="0" borderId="22" xfId="0" applyNumberFormat="1" applyFont="1" applyFill="1" applyBorder="1" applyAlignment="1">
      <alignment horizontal="right" vertical="center" wrapText="1"/>
    </xf>
    <xf numFmtId="0" fontId="11" fillId="0" borderId="3" xfId="0" applyFont="1" applyFill="1" applyBorder="1" applyAlignment="1">
      <alignment horizontal="center" wrapText="1"/>
    </xf>
    <xf numFmtId="0" fontId="11" fillId="0" borderId="3" xfId="0" applyFont="1" applyFill="1" applyBorder="1" applyAlignment="1">
      <alignment horizontal="center" textRotation="90" wrapText="1"/>
    </xf>
    <xf numFmtId="164" fontId="11" fillId="0" borderId="3" xfId="0" applyNumberFormat="1" applyFont="1" applyFill="1" applyBorder="1" applyAlignment="1">
      <alignment horizontal="center" textRotation="90" wrapText="1"/>
    </xf>
    <xf numFmtId="3" fontId="11" fillId="0" borderId="3" xfId="0" applyNumberFormat="1" applyFont="1" applyFill="1" applyBorder="1" applyAlignment="1">
      <alignment horizontal="center" textRotation="90" wrapText="1"/>
    </xf>
    <xf numFmtId="0" fontId="9" fillId="0" borderId="0" xfId="0" applyFont="1" applyFill="1" applyBorder="1" applyAlignment="1">
      <alignment horizontal="center" textRotation="90" wrapText="1"/>
    </xf>
    <xf numFmtId="0" fontId="13" fillId="0" borderId="14" xfId="0" applyFont="1" applyFill="1" applyBorder="1" applyAlignment="1">
      <alignment horizontal="center" wrapText="1"/>
    </xf>
    <xf numFmtId="0" fontId="10" fillId="0" borderId="0" xfId="0" applyFont="1" applyFill="1"/>
    <xf numFmtId="1" fontId="11" fillId="0" borderId="15" xfId="0" applyNumberFormat="1" applyFont="1" applyFill="1" applyBorder="1" applyAlignment="1">
      <alignment horizontal="right" vertical="center"/>
    </xf>
    <xf numFmtId="41" fontId="11" fillId="0" borderId="15" xfId="2" applyNumberFormat="1" applyFont="1" applyFill="1" applyBorder="1" applyAlignment="1">
      <alignment horizontal="right" vertical="center"/>
    </xf>
    <xf numFmtId="166" fontId="11" fillId="0" borderId="15" xfId="3" applyNumberFormat="1" applyFont="1" applyFill="1" applyBorder="1" applyAlignment="1">
      <alignment horizontal="center" vertical="center" wrapText="1"/>
    </xf>
    <xf numFmtId="0" fontId="8" fillId="0" borderId="0" xfId="0" applyFont="1" applyFill="1"/>
    <xf numFmtId="0" fontId="7" fillId="0" borderId="0" xfId="0" applyFont="1" applyFill="1" applyAlignment="1">
      <alignment wrapText="1"/>
    </xf>
    <xf numFmtId="0" fontId="0" fillId="0" borderId="0" xfId="0" applyFill="1" applyAlignment="1">
      <alignment wrapText="1"/>
    </xf>
    <xf numFmtId="164" fontId="7" fillId="0" borderId="0" xfId="0" applyNumberFormat="1" applyFont="1" applyFill="1"/>
    <xf numFmtId="3" fontId="7" fillId="0" borderId="0" xfId="0" applyNumberFormat="1" applyFont="1" applyFill="1"/>
    <xf numFmtId="0" fontId="11" fillId="4" borderId="15" xfId="0" applyFont="1" applyFill="1" applyBorder="1" applyAlignment="1">
      <alignment horizontal="center" wrapText="1"/>
    </xf>
    <xf numFmtId="3" fontId="11" fillId="4" borderId="15" xfId="0" applyNumberFormat="1" applyFont="1" applyFill="1" applyBorder="1" applyAlignment="1">
      <alignment horizontal="right" vertical="center" wrapText="1"/>
    </xf>
    <xf numFmtId="165" fontId="11" fillId="4" borderId="15" xfId="2" applyNumberFormat="1" applyFont="1" applyFill="1" applyBorder="1" applyAlignment="1">
      <alignment horizontal="right" vertical="center" wrapText="1"/>
    </xf>
    <xf numFmtId="3" fontId="11" fillId="4" borderId="15" xfId="2" applyNumberFormat="1" applyFont="1" applyFill="1" applyBorder="1" applyAlignment="1">
      <alignment horizontal="right" vertical="center" wrapText="1"/>
    </xf>
    <xf numFmtId="2" fontId="11" fillId="4" borderId="25" xfId="0" applyNumberFormat="1" applyFont="1" applyFill="1" applyBorder="1" applyAlignment="1">
      <alignment horizontal="right" vertical="center" wrapText="1"/>
    </xf>
    <xf numFmtId="4" fontId="11" fillId="4" borderId="23" xfId="2" applyNumberFormat="1" applyFont="1" applyFill="1" applyBorder="1" applyAlignment="1">
      <alignment horizontal="right" vertical="center" wrapText="1"/>
    </xf>
    <xf numFmtId="1" fontId="11" fillId="4" borderId="15" xfId="0" applyNumberFormat="1" applyFont="1" applyFill="1" applyBorder="1" applyAlignment="1">
      <alignment horizontal="right" vertical="center"/>
    </xf>
    <xf numFmtId="3" fontId="13" fillId="0" borderId="30" xfId="0" applyNumberFormat="1" applyFont="1" applyFill="1" applyBorder="1" applyAlignment="1">
      <alignment horizontal="right" vertical="center" wrapText="1"/>
    </xf>
    <xf numFmtId="3" fontId="13" fillId="0" borderId="29" xfId="0" applyNumberFormat="1" applyFont="1" applyFill="1" applyBorder="1" applyAlignment="1">
      <alignment horizontal="right" vertical="center" wrapText="1"/>
    </xf>
    <xf numFmtId="1" fontId="11" fillId="5" borderId="4" xfId="0" applyNumberFormat="1" applyFont="1" applyFill="1" applyBorder="1" applyAlignment="1">
      <alignment horizontal="right" vertical="center"/>
    </xf>
    <xf numFmtId="2" fontId="11" fillId="5" borderId="4" xfId="0" applyNumberFormat="1" applyFont="1" applyFill="1" applyBorder="1" applyAlignment="1">
      <alignment horizontal="right" vertical="center" wrapText="1"/>
    </xf>
    <xf numFmtId="1" fontId="11" fillId="5" borderId="16" xfId="0" applyNumberFormat="1" applyFont="1" applyFill="1" applyBorder="1" applyAlignment="1">
      <alignment horizontal="right" vertical="center"/>
    </xf>
    <xf numFmtId="165" fontId="11" fillId="5" borderId="13" xfId="2" applyNumberFormat="1" applyFont="1" applyFill="1" applyBorder="1" applyAlignment="1">
      <alignment horizontal="right" vertical="center" wrapText="1"/>
    </xf>
    <xf numFmtId="4" fontId="11" fillId="5" borderId="20" xfId="0" applyNumberFormat="1" applyFont="1" applyFill="1" applyBorder="1" applyAlignment="1">
      <alignment horizontal="right" vertical="center"/>
    </xf>
    <xf numFmtId="1" fontId="11" fillId="5" borderId="16" xfId="0" applyNumberFormat="1" applyFont="1" applyFill="1" applyBorder="1" applyAlignment="1">
      <alignment horizontal="right" vertical="center" wrapText="1"/>
    </xf>
    <xf numFmtId="4" fontId="11" fillId="5" borderId="26" xfId="0" applyNumberFormat="1" applyFont="1" applyFill="1" applyBorder="1" applyAlignment="1">
      <alignment horizontal="right" vertical="center" wrapText="1"/>
    </xf>
    <xf numFmtId="166" fontId="11" fillId="5" borderId="13" xfId="3" applyNumberFormat="1" applyFont="1" applyFill="1" applyBorder="1" applyAlignment="1">
      <alignment horizontal="center" vertical="center" wrapText="1"/>
    </xf>
    <xf numFmtId="166" fontId="11" fillId="5" borderId="13" xfId="3" applyNumberFormat="1" applyFont="1" applyFill="1" applyBorder="1" applyAlignment="1">
      <alignment horizontal="right" vertical="center" wrapText="1"/>
    </xf>
    <xf numFmtId="0" fontId="13" fillId="0" borderId="33" xfId="0" applyFont="1" applyBorder="1" applyAlignment="1">
      <alignment horizontal="center" vertical="center" wrapText="1"/>
    </xf>
    <xf numFmtId="1" fontId="13" fillId="0" borderId="4" xfId="0" applyNumberFormat="1" applyFont="1" applyBorder="1" applyAlignment="1">
      <alignment horizontal="right" vertical="center"/>
    </xf>
    <xf numFmtId="2" fontId="13" fillId="0" borderId="35" xfId="0" applyNumberFormat="1" applyFont="1" applyBorder="1" applyAlignment="1">
      <alignment horizontal="right" vertical="center"/>
    </xf>
    <xf numFmtId="1" fontId="13" fillId="0" borderId="5" xfId="0" applyNumberFormat="1" applyFont="1" applyFill="1" applyBorder="1" applyAlignment="1">
      <alignment horizontal="right" vertical="center" wrapText="1"/>
    </xf>
    <xf numFmtId="1" fontId="13" fillId="0" borderId="4" xfId="0" applyNumberFormat="1" applyFont="1" applyBorder="1" applyAlignment="1">
      <alignment horizontal="right" vertical="center" wrapText="1"/>
    </xf>
    <xf numFmtId="2" fontId="13" fillId="0" borderId="36" xfId="0" applyNumberFormat="1" applyFont="1" applyFill="1" applyBorder="1" applyAlignment="1">
      <alignment horizontal="right" vertical="center" wrapText="1"/>
    </xf>
    <xf numFmtId="2" fontId="13" fillId="0" borderId="4" xfId="0" applyNumberFormat="1" applyFont="1" applyBorder="1" applyAlignment="1">
      <alignment horizontal="right" vertical="center"/>
    </xf>
    <xf numFmtId="2" fontId="13" fillId="0" borderId="4" xfId="0" applyNumberFormat="1" applyFont="1" applyBorder="1" applyAlignment="1">
      <alignment horizontal="right" vertical="center" wrapText="1"/>
    </xf>
    <xf numFmtId="1" fontId="13" fillId="0" borderId="34" xfId="0" applyNumberFormat="1" applyFont="1" applyFill="1" applyBorder="1" applyAlignment="1">
      <alignment horizontal="right" vertical="center" wrapText="1"/>
    </xf>
    <xf numFmtId="1" fontId="13" fillId="0" borderId="21" xfId="0" applyNumberFormat="1" applyFont="1" applyFill="1" applyBorder="1" applyAlignment="1">
      <alignment horizontal="right" vertical="center" wrapText="1"/>
    </xf>
    <xf numFmtId="1" fontId="13" fillId="0" borderId="4" xfId="2" applyNumberFormat="1" applyFont="1" applyBorder="1" applyAlignment="1">
      <alignment horizontal="right" vertical="center" wrapText="1"/>
    </xf>
    <xf numFmtId="0" fontId="11" fillId="0" borderId="7" xfId="0" applyFont="1" applyFill="1" applyBorder="1" applyAlignment="1">
      <alignment horizontal="center" wrapText="1"/>
    </xf>
    <xf numFmtId="3" fontId="11" fillId="0" borderId="3" xfId="0" applyNumberFormat="1" applyFont="1" applyFill="1" applyBorder="1" applyAlignment="1">
      <alignment horizontal="right" wrapText="1"/>
    </xf>
    <xf numFmtId="3" fontId="11" fillId="0" borderId="38" xfId="0" applyNumberFormat="1" applyFont="1" applyFill="1" applyBorder="1" applyAlignment="1">
      <alignment horizontal="right" wrapText="1"/>
    </xf>
    <xf numFmtId="1" fontId="11" fillId="0" borderId="39" xfId="0" applyNumberFormat="1" applyFont="1" applyFill="1" applyBorder="1" applyAlignment="1">
      <alignment horizontal="right" wrapText="1"/>
    </xf>
    <xf numFmtId="165" fontId="11" fillId="0" borderId="39" xfId="2" applyNumberFormat="1" applyFont="1" applyFill="1" applyBorder="1" applyAlignment="1">
      <alignment horizontal="right" wrapText="1"/>
    </xf>
    <xf numFmtId="167" fontId="11" fillId="0" borderId="39" xfId="0" applyNumberFormat="1" applyFont="1" applyFill="1" applyBorder="1" applyAlignment="1">
      <alignment horizontal="right" wrapText="1"/>
    </xf>
    <xf numFmtId="2" fontId="11" fillId="0" borderId="40" xfId="0" applyNumberFormat="1" applyFont="1" applyFill="1" applyBorder="1" applyAlignment="1">
      <alignment horizontal="right" wrapText="1"/>
    </xf>
    <xf numFmtId="1" fontId="11" fillId="0" borderId="41" xfId="0" applyNumberFormat="1" applyFont="1" applyFill="1" applyBorder="1" applyAlignment="1">
      <alignment horizontal="right" wrapText="1"/>
    </xf>
    <xf numFmtId="2" fontId="11" fillId="0" borderId="42" xfId="0" applyNumberFormat="1" applyFont="1" applyFill="1" applyBorder="1" applyAlignment="1">
      <alignment horizontal="right" wrapText="1"/>
    </xf>
    <xf numFmtId="44" fontId="11" fillId="0" borderId="38" xfId="3" applyFont="1" applyFill="1" applyBorder="1" applyAlignment="1">
      <alignment horizontal="center" wrapText="1"/>
    </xf>
    <xf numFmtId="44" fontId="11" fillId="0" borderId="43" xfId="3" applyFont="1" applyFill="1" applyBorder="1" applyAlignment="1">
      <alignment horizontal="center" wrapText="1"/>
    </xf>
    <xf numFmtId="166" fontId="13" fillId="0" borderId="32" xfId="3" applyNumberFormat="1" applyFont="1" applyFill="1" applyBorder="1" applyAlignment="1">
      <alignment horizontal="center" vertical="center" wrapText="1"/>
    </xf>
    <xf numFmtId="0" fontId="13" fillId="0" borderId="4" xfId="0" applyFont="1" applyBorder="1" applyAlignment="1">
      <alignment horizontal="center" vertical="center" textRotation="90" wrapText="1"/>
    </xf>
    <xf numFmtId="0" fontId="12" fillId="0" borderId="21" xfId="0" applyFont="1" applyBorder="1" applyAlignment="1">
      <alignment horizontal="center" vertical="center" textRotation="90" wrapText="1"/>
    </xf>
    <xf numFmtId="2" fontId="11" fillId="0" borderId="39" xfId="0" applyNumberFormat="1" applyFont="1" applyFill="1" applyBorder="1" applyAlignment="1">
      <alignment horizontal="right" wrapText="1"/>
    </xf>
    <xf numFmtId="0" fontId="7" fillId="0" borderId="0" xfId="0" applyFont="1" applyFill="1" applyAlignment="1">
      <alignment wrapText="1"/>
    </xf>
    <xf numFmtId="0" fontId="12" fillId="0" borderId="4" xfId="0" applyFont="1" applyFill="1" applyBorder="1" applyAlignment="1">
      <alignment horizontal="center" vertical="center" wrapText="1"/>
    </xf>
    <xf numFmtId="1" fontId="11" fillId="0" borderId="16" xfId="0" applyNumberFormat="1" applyFont="1" applyFill="1" applyBorder="1" applyAlignment="1">
      <alignment horizontal="right" vertical="center"/>
    </xf>
    <xf numFmtId="0" fontId="11" fillId="6" borderId="4" xfId="0" applyFont="1" applyFill="1" applyBorder="1" applyAlignment="1">
      <alignment horizontal="center" wrapText="1"/>
    </xf>
    <xf numFmtId="1" fontId="11" fillId="6" borderId="4" xfId="0" applyNumberFormat="1" applyFont="1" applyFill="1" applyBorder="1" applyAlignment="1">
      <alignment horizontal="right" vertical="center"/>
    </xf>
    <xf numFmtId="2" fontId="11" fillId="6" borderId="4" xfId="0" applyNumberFormat="1" applyFont="1" applyFill="1" applyBorder="1" applyAlignment="1">
      <alignment horizontal="right" vertical="center"/>
    </xf>
    <xf numFmtId="4" fontId="11" fillId="6" borderId="6" xfId="0" applyNumberFormat="1" applyFont="1" applyFill="1" applyBorder="1" applyAlignment="1">
      <alignment horizontal="right" vertical="center"/>
    </xf>
    <xf numFmtId="3" fontId="11" fillId="6" borderId="21" xfId="0" applyNumberFormat="1" applyFont="1" applyFill="1" applyBorder="1" applyAlignment="1">
      <alignment horizontal="right" vertical="center" wrapText="1"/>
    </xf>
    <xf numFmtId="1" fontId="11" fillId="6" borderId="4" xfId="0" applyNumberFormat="1" applyFont="1" applyFill="1" applyBorder="1" applyAlignment="1">
      <alignment horizontal="right" vertical="center" wrapText="1"/>
    </xf>
    <xf numFmtId="3" fontId="11" fillId="6" borderId="4" xfId="0" applyNumberFormat="1" applyFont="1" applyFill="1" applyBorder="1" applyAlignment="1">
      <alignment horizontal="right" vertical="center" wrapText="1"/>
    </xf>
    <xf numFmtId="2" fontId="11" fillId="6" borderId="6" xfId="0" applyNumberFormat="1" applyFont="1" applyFill="1" applyBorder="1" applyAlignment="1">
      <alignment horizontal="right" vertical="center" wrapText="1"/>
    </xf>
    <xf numFmtId="4" fontId="11" fillId="6" borderId="21" xfId="0" applyNumberFormat="1" applyFont="1" applyFill="1" applyBorder="1" applyAlignment="1">
      <alignment horizontal="right" vertical="center" wrapText="1"/>
    </xf>
    <xf numFmtId="166" fontId="13" fillId="6" borderId="4" xfId="3" applyNumberFormat="1" applyFont="1" applyFill="1" applyBorder="1" applyAlignment="1">
      <alignment horizontal="center" vertical="center" wrapText="1"/>
    </xf>
    <xf numFmtId="166" fontId="11" fillId="6" borderId="4" xfId="3" applyNumberFormat="1" applyFont="1" applyFill="1" applyBorder="1" applyAlignment="1">
      <alignment horizontal="right" vertical="center" wrapText="1"/>
    </xf>
    <xf numFmtId="3" fontId="13" fillId="5" borderId="22" xfId="0" applyNumberFormat="1" applyFont="1" applyFill="1" applyBorder="1" applyAlignment="1">
      <alignment horizontal="right" vertical="center" wrapText="1"/>
    </xf>
    <xf numFmtId="3" fontId="13" fillId="5" borderId="13" xfId="0" applyNumberFormat="1" applyFont="1" applyFill="1" applyBorder="1" applyAlignment="1">
      <alignment horizontal="right" vertical="center" wrapText="1"/>
    </xf>
    <xf numFmtId="2" fontId="13" fillId="5" borderId="13" xfId="0" applyNumberFormat="1" applyFont="1" applyFill="1" applyBorder="1" applyAlignment="1">
      <alignment horizontal="right" vertical="center" wrapText="1"/>
    </xf>
    <xf numFmtId="2" fontId="13" fillId="5" borderId="20" xfId="0" applyNumberFormat="1" applyFont="1" applyFill="1" applyBorder="1" applyAlignment="1">
      <alignment horizontal="right" vertical="center" wrapText="1"/>
    </xf>
    <xf numFmtId="3" fontId="11" fillId="0" borderId="23" xfId="2" applyNumberFormat="1" applyFont="1" applyFill="1" applyBorder="1" applyAlignment="1">
      <alignment horizontal="right" vertical="center"/>
    </xf>
    <xf numFmtId="0" fontId="11" fillId="2" borderId="13" xfId="0" applyFont="1" applyFill="1" applyBorder="1" applyAlignment="1">
      <alignment horizontal="center" wrapText="1"/>
    </xf>
    <xf numFmtId="3" fontId="11" fillId="2" borderId="13" xfId="0" applyNumberFormat="1" applyFont="1" applyFill="1" applyBorder="1" applyAlignment="1">
      <alignment horizontal="right" vertical="center" wrapText="1"/>
    </xf>
    <xf numFmtId="0" fontId="11" fillId="2" borderId="13" xfId="0" applyFont="1" applyFill="1" applyBorder="1" applyAlignment="1">
      <alignment horizontal="right" vertical="center" wrapText="1"/>
    </xf>
    <xf numFmtId="165" fontId="11" fillId="7" borderId="15" xfId="2" applyNumberFormat="1" applyFont="1" applyFill="1" applyBorder="1" applyAlignment="1">
      <alignment horizontal="right" vertical="center" wrapText="1"/>
    </xf>
    <xf numFmtId="2" fontId="11" fillId="7" borderId="15" xfId="0" applyNumberFormat="1" applyFont="1" applyFill="1" applyBorder="1" applyAlignment="1">
      <alignment horizontal="right" vertical="center" wrapText="1"/>
    </xf>
    <xf numFmtId="0" fontId="15" fillId="0" borderId="8" xfId="0" applyFont="1" applyFill="1" applyBorder="1" applyAlignment="1">
      <alignment horizontal="center"/>
    </xf>
    <xf numFmtId="0" fontId="2" fillId="0" borderId="8" xfId="0" applyFont="1" applyBorder="1" applyAlignment="1">
      <alignment horizontal="center"/>
    </xf>
    <xf numFmtId="0" fontId="15" fillId="0" borderId="0" xfId="0" applyFont="1" applyFill="1" applyAlignment="1">
      <alignment horizontal="center" vertical="center"/>
    </xf>
    <xf numFmtId="0" fontId="2" fillId="0" borderId="0" xfId="0" applyFont="1" applyAlignment="1">
      <alignment horizontal="center" vertical="center"/>
    </xf>
    <xf numFmtId="0" fontId="7" fillId="0" borderId="0" xfId="0" applyFont="1" applyFill="1" applyAlignment="1">
      <alignment wrapText="1"/>
    </xf>
    <xf numFmtId="0" fontId="12" fillId="0" borderId="0" xfId="0" applyFont="1" applyBorder="1" applyAlignment="1">
      <alignment horizontal="left" vertical="center" wrapText="1"/>
    </xf>
    <xf numFmtId="0" fontId="11" fillId="0" borderId="3" xfId="0" applyFont="1" applyFill="1" applyBorder="1" applyAlignment="1">
      <alignment horizontal="center" wrapText="1"/>
    </xf>
    <xf numFmtId="2" fontId="13" fillId="0" borderId="14" xfId="0" applyNumberFormat="1" applyFont="1" applyFill="1" applyBorder="1" applyAlignment="1">
      <alignment horizontal="center" vertical="center" textRotation="90" wrapText="1"/>
    </xf>
    <xf numFmtId="2" fontId="13" fillId="0" borderId="4" xfId="0" applyNumberFormat="1" applyFont="1" applyFill="1" applyBorder="1" applyAlignment="1">
      <alignment horizontal="center" vertical="center" textRotation="90" wrapText="1"/>
    </xf>
    <xf numFmtId="2" fontId="13" fillId="0" borderId="13" xfId="0" applyNumberFormat="1" applyFont="1" applyFill="1" applyBorder="1" applyAlignment="1">
      <alignment horizontal="center" vertical="center" textRotation="90" wrapText="1"/>
    </xf>
    <xf numFmtId="0" fontId="13" fillId="0" borderId="4"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13" fillId="0" borderId="4" xfId="0" applyFont="1" applyFill="1" applyBorder="1" applyAlignment="1">
      <alignment horizontal="left" vertical="center"/>
    </xf>
    <xf numFmtId="0" fontId="12" fillId="0" borderId="14" xfId="0" applyFont="1" applyFill="1" applyBorder="1" applyAlignment="1">
      <alignment horizontal="center" vertical="center" textRotation="90" wrapText="1"/>
    </xf>
    <xf numFmtId="0" fontId="12" fillId="0" borderId="4" xfId="0" applyFont="1" applyFill="1" applyBorder="1" applyAlignment="1">
      <alignment horizontal="center" vertical="center" textRotation="90" wrapText="1"/>
    </xf>
    <xf numFmtId="0" fontId="12" fillId="0" borderId="13" xfId="0" applyFont="1" applyFill="1" applyBorder="1" applyAlignment="1">
      <alignment horizontal="center" vertical="center" textRotation="90" wrapText="1"/>
    </xf>
    <xf numFmtId="0" fontId="13" fillId="0" borderId="24"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28"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1" fillId="6" borderId="4" xfId="0" applyFont="1" applyFill="1" applyBorder="1" applyAlignment="1">
      <alignment horizontal="center" wrapText="1"/>
    </xf>
    <xf numFmtId="0" fontId="12" fillId="0" borderId="4"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2" fillId="0" borderId="31" xfId="0" applyFont="1" applyFill="1" applyBorder="1" applyAlignment="1">
      <alignment horizontal="center" vertical="center" textRotation="90" wrapText="1"/>
    </xf>
    <xf numFmtId="0" fontId="12" fillId="0" borderId="32" xfId="0" applyFont="1" applyFill="1" applyBorder="1" applyAlignment="1">
      <alignment horizontal="center" vertical="center" textRotation="90" wrapText="1"/>
    </xf>
    <xf numFmtId="0" fontId="12" fillId="0" borderId="16" xfId="0" applyFont="1" applyFill="1" applyBorder="1" applyAlignment="1">
      <alignment horizontal="center" vertical="center" textRotation="90" wrapText="1"/>
    </xf>
    <xf numFmtId="0" fontId="13" fillId="0" borderId="17" xfId="0" applyFont="1" applyFill="1" applyBorder="1" applyAlignment="1">
      <alignment horizontal="center" vertical="center" textRotation="90" wrapText="1"/>
    </xf>
    <xf numFmtId="0" fontId="13" fillId="0" borderId="14" xfId="0" applyFont="1" applyFill="1" applyBorder="1" applyAlignment="1">
      <alignment horizontal="center" vertical="center" textRotation="90" wrapText="1"/>
    </xf>
    <xf numFmtId="0" fontId="13" fillId="0" borderId="4" xfId="0" applyFont="1" applyFill="1" applyBorder="1" applyAlignment="1">
      <alignment horizontal="center" vertical="center" textRotation="90" wrapText="1"/>
    </xf>
    <xf numFmtId="0" fontId="13" fillId="0" borderId="13" xfId="0" applyFont="1" applyFill="1" applyBorder="1" applyAlignment="1">
      <alignment horizontal="center" vertical="center" textRotation="90" wrapText="1"/>
    </xf>
    <xf numFmtId="0" fontId="13" fillId="0" borderId="18" xfId="0" applyFont="1" applyFill="1" applyBorder="1" applyAlignment="1">
      <alignment horizontal="center" vertical="center" textRotation="90" wrapText="1"/>
    </xf>
    <xf numFmtId="0" fontId="0" fillId="0" borderId="12" xfId="0" applyBorder="1" applyAlignment="1">
      <alignment horizontal="left" vertical="center" wrapText="1"/>
    </xf>
    <xf numFmtId="0" fontId="0" fillId="0" borderId="5" xfId="0" applyBorder="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11" fillId="0" borderId="16" xfId="0" applyFont="1" applyFill="1" applyBorder="1" applyAlignment="1">
      <alignment horizontal="left" wrapText="1"/>
    </xf>
    <xf numFmtId="0" fontId="11" fillId="0" borderId="15" xfId="0" applyFont="1" applyFill="1" applyBorder="1" applyAlignment="1">
      <alignment horizontal="left" wrapText="1"/>
    </xf>
    <xf numFmtId="0" fontId="11" fillId="4" borderId="15" xfId="0" applyFont="1" applyFill="1" applyBorder="1" applyAlignment="1">
      <alignment horizontal="left" wrapText="1"/>
    </xf>
    <xf numFmtId="0" fontId="11" fillId="5" borderId="13" xfId="0" applyFont="1" applyFill="1" applyBorder="1" applyAlignment="1">
      <alignment horizontal="center" wrapText="1"/>
    </xf>
    <xf numFmtId="0" fontId="13" fillId="0" borderId="1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1" fillId="0" borderId="9" xfId="0" applyFont="1" applyFill="1" applyBorder="1" applyAlignment="1">
      <alignment horizontal="left" wrapText="1"/>
    </xf>
    <xf numFmtId="0" fontId="11" fillId="0" borderId="37" xfId="0" applyFont="1" applyFill="1" applyBorder="1" applyAlignment="1">
      <alignment horizontal="left" wrapText="1"/>
    </xf>
    <xf numFmtId="0" fontId="11" fillId="0" borderId="7" xfId="0" applyFont="1" applyFill="1" applyBorder="1" applyAlignment="1">
      <alignment horizontal="left" wrapText="1"/>
    </xf>
    <xf numFmtId="0" fontId="0" fillId="0" borderId="0" xfId="0" applyAlignment="1">
      <alignment horizontal="left" vertical="center" wrapText="1"/>
    </xf>
    <xf numFmtId="0" fontId="0" fillId="0" borderId="0" xfId="0" applyAlignment="1"/>
    <xf numFmtId="0" fontId="13" fillId="0" borderId="4" xfId="0" applyFont="1" applyFill="1" applyBorder="1" applyAlignment="1">
      <alignment horizontal="left" wrapText="1"/>
    </xf>
    <xf numFmtId="0" fontId="4" fillId="2" borderId="9" xfId="0" applyFont="1" applyFill="1" applyBorder="1" applyAlignment="1">
      <alignment horizontal="center" vertical="center"/>
    </xf>
    <xf numFmtId="0" fontId="4" fillId="2" borderId="7" xfId="0" applyFont="1" applyFill="1" applyBorder="1" applyAlignment="1">
      <alignment horizontal="center" vertic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A6A6A6"/>
      <color rgb="FFD9D9D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showGridLines="0" tabSelected="1" zoomScaleNormal="100" zoomScaleSheetLayoutView="100" workbookViewId="0">
      <pane ySplit="3" topLeftCell="A4" activePane="bottomLeft" state="frozen"/>
      <selection pane="bottomLeft" activeCell="K21" sqref="K21"/>
    </sheetView>
  </sheetViews>
  <sheetFormatPr defaultColWidth="9.140625" defaultRowHeight="15" x14ac:dyDescent="0.25"/>
  <cols>
    <col min="1" max="1" width="11.140625" style="100" customWidth="1"/>
    <col min="2" max="2" width="10.7109375" style="101" customWidth="1"/>
    <col min="3" max="4" width="17" style="100" customWidth="1"/>
    <col min="5" max="5" width="16.85546875" style="100" customWidth="1"/>
    <col min="6" max="6" width="7.140625" style="101" customWidth="1"/>
    <col min="7" max="7" width="6.42578125" style="100" bestFit="1" customWidth="1"/>
    <col min="8" max="8" width="6.5703125" style="100" customWidth="1"/>
    <col min="9" max="9" width="7.7109375" style="100" bestFit="1" customWidth="1"/>
    <col min="10" max="10" width="7.85546875" style="100" bestFit="1" customWidth="1"/>
    <col min="11" max="11" width="8.7109375" style="122" customWidth="1"/>
    <col min="12" max="12" width="8.140625" style="100" bestFit="1" customWidth="1"/>
    <col min="13" max="13" width="5.7109375" style="123" bestFit="1" customWidth="1"/>
    <col min="14" max="14" width="7.7109375" style="100" bestFit="1" customWidth="1"/>
    <col min="15" max="15" width="6.7109375" style="123" bestFit="1" customWidth="1"/>
    <col min="16" max="16" width="6.5703125" style="122" bestFit="1" customWidth="1"/>
    <col min="17" max="17" width="6.5703125" style="100" customWidth="1"/>
    <col min="18" max="18" width="7.7109375" style="100" customWidth="1"/>
    <col min="19" max="19" width="9.140625" style="100" customWidth="1"/>
    <col min="20" max="20" width="9.85546875" style="100" customWidth="1"/>
    <col min="21" max="21" width="9.140625" style="100" hidden="1" customWidth="1"/>
    <col min="22" max="24" width="9.140625" style="30"/>
    <col min="25" max="25" width="11.5703125" style="30" bestFit="1" customWidth="1"/>
    <col min="26" max="16384" width="9.140625" style="30"/>
  </cols>
  <sheetData>
    <row r="1" spans="1:23" x14ac:dyDescent="0.25">
      <c r="A1" s="194"/>
      <c r="B1" s="195"/>
      <c r="C1" s="195"/>
      <c r="D1" s="195"/>
      <c r="E1" s="195"/>
      <c r="F1" s="195"/>
      <c r="G1" s="195"/>
      <c r="H1" s="195"/>
      <c r="I1" s="195"/>
      <c r="J1" s="195"/>
      <c r="K1" s="195"/>
      <c r="L1" s="195"/>
      <c r="M1" s="195"/>
      <c r="N1" s="195"/>
      <c r="O1" s="195"/>
      <c r="P1" s="195"/>
      <c r="Q1" s="195"/>
      <c r="R1" s="195"/>
      <c r="S1" s="195"/>
      <c r="T1" s="195"/>
    </row>
    <row r="2" spans="1:23" ht="15.75" thickBot="1" x14ac:dyDescent="0.3">
      <c r="A2" s="192" t="s">
        <v>133</v>
      </c>
      <c r="B2" s="193"/>
      <c r="C2" s="193"/>
      <c r="D2" s="193"/>
      <c r="E2" s="193"/>
      <c r="F2" s="193"/>
      <c r="G2" s="193"/>
      <c r="H2" s="193"/>
      <c r="I2" s="193"/>
      <c r="J2" s="193"/>
      <c r="K2" s="193"/>
      <c r="L2" s="193"/>
      <c r="M2" s="193"/>
      <c r="N2" s="193"/>
      <c r="O2" s="193"/>
      <c r="P2" s="193"/>
      <c r="Q2" s="193"/>
      <c r="R2" s="193"/>
      <c r="S2" s="193"/>
      <c r="T2" s="193"/>
    </row>
    <row r="3" spans="1:23" ht="77.25" customHeight="1" thickBot="1" x14ac:dyDescent="0.3">
      <c r="A3" s="109" t="s">
        <v>34</v>
      </c>
      <c r="B3" s="109" t="s">
        <v>7</v>
      </c>
      <c r="C3" s="198" t="s">
        <v>42</v>
      </c>
      <c r="D3" s="198"/>
      <c r="E3" s="198"/>
      <c r="F3" s="110" t="s">
        <v>68</v>
      </c>
      <c r="G3" s="110" t="s">
        <v>66</v>
      </c>
      <c r="H3" s="110" t="s">
        <v>45</v>
      </c>
      <c r="I3" s="110" t="s">
        <v>0</v>
      </c>
      <c r="J3" s="110" t="s">
        <v>1</v>
      </c>
      <c r="K3" s="111" t="s">
        <v>2</v>
      </c>
      <c r="L3" s="110" t="s">
        <v>35</v>
      </c>
      <c r="M3" s="112" t="s">
        <v>46</v>
      </c>
      <c r="N3" s="110" t="s">
        <v>0</v>
      </c>
      <c r="O3" s="112" t="s">
        <v>1</v>
      </c>
      <c r="P3" s="111" t="s">
        <v>3</v>
      </c>
      <c r="Q3" s="110" t="s">
        <v>35</v>
      </c>
      <c r="R3" s="109" t="s">
        <v>4</v>
      </c>
      <c r="S3" s="109" t="s">
        <v>36</v>
      </c>
      <c r="T3" s="109" t="s">
        <v>37</v>
      </c>
      <c r="U3" s="113" t="s">
        <v>40</v>
      </c>
    </row>
    <row r="4" spans="1:23" ht="24.75" customHeight="1" x14ac:dyDescent="0.25">
      <c r="A4" s="205" t="s">
        <v>41</v>
      </c>
      <c r="B4" s="199" t="s">
        <v>43</v>
      </c>
      <c r="C4" s="208" t="s">
        <v>69</v>
      </c>
      <c r="D4" s="209"/>
      <c r="E4" s="210"/>
      <c r="F4" s="114" t="s">
        <v>56</v>
      </c>
      <c r="G4" s="40">
        <v>4046</v>
      </c>
      <c r="H4" s="102">
        <v>2969</v>
      </c>
      <c r="I4" s="41">
        <v>1</v>
      </c>
      <c r="J4" s="103">
        <f>H4*I4</f>
        <v>2969</v>
      </c>
      <c r="K4" s="42">
        <v>8.3299999999999999E-2</v>
      </c>
      <c r="L4" s="43">
        <f>(J4*K4)</f>
        <v>247.3177</v>
      </c>
      <c r="M4" s="104">
        <f>(G4-H4)</f>
        <v>1077</v>
      </c>
      <c r="N4" s="41">
        <v>1</v>
      </c>
      <c r="O4" s="105">
        <f t="shared" ref="O4:O20" si="0">+M4*N4</f>
        <v>1077</v>
      </c>
      <c r="P4" s="44">
        <v>0.02</v>
      </c>
      <c r="Q4" s="45">
        <f>+P4*O4</f>
        <v>21.54</v>
      </c>
      <c r="R4" s="46">
        <f t="shared" ref="R4:R36" si="1">(L4+Q4)</f>
        <v>268.85770000000002</v>
      </c>
      <c r="S4" s="47">
        <v>7.25</v>
      </c>
      <c r="T4" s="48">
        <f>(R4*S4)</f>
        <v>1949.2183250000003</v>
      </c>
      <c r="U4" s="28">
        <f t="shared" ref="U4:U18" si="2">H4/G4</f>
        <v>0.73381117152743447</v>
      </c>
      <c r="V4" s="29"/>
      <c r="W4" s="100"/>
    </row>
    <row r="5" spans="1:23" ht="15" customHeight="1" x14ac:dyDescent="0.25">
      <c r="A5" s="206"/>
      <c r="B5" s="200"/>
      <c r="C5" s="211" t="s">
        <v>70</v>
      </c>
      <c r="D5" s="212"/>
      <c r="E5" s="213"/>
      <c r="F5" s="114" t="s">
        <v>89</v>
      </c>
      <c r="G5" s="49">
        <v>4046</v>
      </c>
      <c r="H5" s="50">
        <v>2969</v>
      </c>
      <c r="I5" s="51">
        <v>1</v>
      </c>
      <c r="J5" s="103">
        <f t="shared" ref="J5:J20" si="3">H5*I5</f>
        <v>2969</v>
      </c>
      <c r="K5" s="52">
        <v>0.05</v>
      </c>
      <c r="L5" s="53">
        <f>(J5*K5)</f>
        <v>148.45000000000002</v>
      </c>
      <c r="M5" s="106">
        <f>(G5-H5)</f>
        <v>1077</v>
      </c>
      <c r="N5" s="51">
        <v>1</v>
      </c>
      <c r="O5" s="107">
        <f t="shared" si="0"/>
        <v>1077</v>
      </c>
      <c r="P5" s="54">
        <v>0.02</v>
      </c>
      <c r="Q5" s="55">
        <f>+P5*O5</f>
        <v>21.54</v>
      </c>
      <c r="R5" s="56">
        <f t="shared" si="1"/>
        <v>169.99</v>
      </c>
      <c r="S5" s="57">
        <v>7.25</v>
      </c>
      <c r="T5" s="58">
        <f>(R5*S5)</f>
        <v>1232.4275</v>
      </c>
      <c r="U5" s="28"/>
      <c r="V5" s="29"/>
      <c r="W5" s="100"/>
    </row>
    <row r="6" spans="1:23" x14ac:dyDescent="0.25">
      <c r="A6" s="206"/>
      <c r="B6" s="200"/>
      <c r="C6" s="202" t="s">
        <v>71</v>
      </c>
      <c r="D6" s="202"/>
      <c r="E6" s="202"/>
      <c r="F6" s="60" t="s">
        <v>53</v>
      </c>
      <c r="G6" s="49">
        <f>4046*0.94*0.94*0.94*0.94*0.94</f>
        <v>2969.3756746303989</v>
      </c>
      <c r="H6" s="50">
        <v>2524</v>
      </c>
      <c r="I6" s="51">
        <v>1</v>
      </c>
      <c r="J6" s="103">
        <f t="shared" si="3"/>
        <v>2524</v>
      </c>
      <c r="K6" s="52">
        <v>0.05</v>
      </c>
      <c r="L6" s="53">
        <f>(J6*K6)</f>
        <v>126.2</v>
      </c>
      <c r="M6" s="61">
        <f>(G6-H6)</f>
        <v>445.37567463039886</v>
      </c>
      <c r="N6" s="51">
        <f>(I6)</f>
        <v>1</v>
      </c>
      <c r="O6" s="49">
        <f t="shared" si="0"/>
        <v>445.37567463039886</v>
      </c>
      <c r="P6" s="54">
        <v>0.02</v>
      </c>
      <c r="Q6" s="55">
        <f t="shared" ref="Q6:Q20" si="4">+O6*P6</f>
        <v>8.9075134926079773</v>
      </c>
      <c r="R6" s="56">
        <f t="shared" si="1"/>
        <v>135.10751349260798</v>
      </c>
      <c r="S6" s="57">
        <v>7.25</v>
      </c>
      <c r="T6" s="58">
        <f>(R6*S6)</f>
        <v>979.52947282140781</v>
      </c>
      <c r="U6" s="28">
        <f t="shared" si="2"/>
        <v>0.85001033098116319</v>
      </c>
      <c r="V6" s="29"/>
    </row>
    <row r="7" spans="1:23" x14ac:dyDescent="0.25">
      <c r="A7" s="206"/>
      <c r="B7" s="200"/>
      <c r="C7" s="202" t="s">
        <v>72</v>
      </c>
      <c r="D7" s="202"/>
      <c r="E7" s="202"/>
      <c r="F7" s="59" t="s">
        <v>52</v>
      </c>
      <c r="G7" s="49">
        <v>2969</v>
      </c>
      <c r="H7" s="50">
        <v>1901</v>
      </c>
      <c r="I7" s="51">
        <v>1</v>
      </c>
      <c r="J7" s="103">
        <f t="shared" si="3"/>
        <v>1901</v>
      </c>
      <c r="K7" s="52">
        <v>0.75</v>
      </c>
      <c r="L7" s="62">
        <f>(J7*K7)</f>
        <v>1425.75</v>
      </c>
      <c r="M7" s="61">
        <f>G7-H7</f>
        <v>1068</v>
      </c>
      <c r="N7" s="51">
        <f>(I7)</f>
        <v>1</v>
      </c>
      <c r="O7" s="49">
        <f t="shared" si="0"/>
        <v>1068</v>
      </c>
      <c r="P7" s="54">
        <v>0.02</v>
      </c>
      <c r="Q7" s="55">
        <f t="shared" si="4"/>
        <v>21.36</v>
      </c>
      <c r="R7" s="56">
        <f t="shared" si="1"/>
        <v>1447.11</v>
      </c>
      <c r="S7" s="57">
        <v>7.25</v>
      </c>
      <c r="T7" s="58">
        <f>(R7*S7)</f>
        <v>10491.547499999999</v>
      </c>
      <c r="U7" s="28"/>
      <c r="V7" s="29"/>
    </row>
    <row r="8" spans="1:23" x14ac:dyDescent="0.25">
      <c r="A8" s="206"/>
      <c r="B8" s="200"/>
      <c r="C8" s="202" t="s">
        <v>73</v>
      </c>
      <c r="D8" s="202"/>
      <c r="E8" s="202"/>
      <c r="F8" s="59" t="s">
        <v>103</v>
      </c>
      <c r="G8" s="49">
        <f>0.15*H7</f>
        <v>285.14999999999998</v>
      </c>
      <c r="H8" s="50">
        <v>190</v>
      </c>
      <c r="I8" s="51">
        <v>1</v>
      </c>
      <c r="J8" s="103">
        <f t="shared" si="3"/>
        <v>190</v>
      </c>
      <c r="K8" s="52">
        <v>0.5</v>
      </c>
      <c r="L8" s="62">
        <f t="shared" ref="L8:L18" si="5">(J8*K8)</f>
        <v>95</v>
      </c>
      <c r="M8" s="61">
        <f>G8-H8</f>
        <v>95.149999999999977</v>
      </c>
      <c r="N8" s="51">
        <f t="shared" ref="N8:N15" si="6">(I8)</f>
        <v>1</v>
      </c>
      <c r="O8" s="49">
        <f t="shared" si="0"/>
        <v>95.149999999999977</v>
      </c>
      <c r="P8" s="54">
        <v>0.02</v>
      </c>
      <c r="Q8" s="55">
        <f t="shared" si="4"/>
        <v>1.9029999999999996</v>
      </c>
      <c r="R8" s="56">
        <f t="shared" si="1"/>
        <v>96.903000000000006</v>
      </c>
      <c r="S8" s="57">
        <v>7.25</v>
      </c>
      <c r="T8" s="58">
        <f t="shared" ref="T8:T18" si="7">(R8*S8)</f>
        <v>702.54675000000009</v>
      </c>
      <c r="U8" s="28">
        <f t="shared" si="2"/>
        <v>0.66631597404874632</v>
      </c>
      <c r="V8" s="29"/>
    </row>
    <row r="9" spans="1:23" ht="25.5" x14ac:dyDescent="0.25">
      <c r="A9" s="206"/>
      <c r="B9" s="200"/>
      <c r="C9" s="211" t="s">
        <v>79</v>
      </c>
      <c r="D9" s="226"/>
      <c r="E9" s="227"/>
      <c r="F9" s="59" t="s">
        <v>77</v>
      </c>
      <c r="G9" s="49">
        <v>1188</v>
      </c>
      <c r="H9" s="50">
        <v>1188</v>
      </c>
      <c r="I9" s="51">
        <v>1</v>
      </c>
      <c r="J9" s="103">
        <f t="shared" si="3"/>
        <v>1188</v>
      </c>
      <c r="K9" s="52">
        <v>0.03</v>
      </c>
      <c r="L9" s="62">
        <f t="shared" ref="L9:L13" si="8">(J9*K9)</f>
        <v>35.64</v>
      </c>
      <c r="M9" s="61">
        <v>0</v>
      </c>
      <c r="N9" s="51">
        <v>0</v>
      </c>
      <c r="O9" s="49">
        <f t="shared" ref="O9:O10" si="9">+M9*N9</f>
        <v>0</v>
      </c>
      <c r="P9" s="54">
        <v>0</v>
      </c>
      <c r="Q9" s="55">
        <f t="shared" ref="Q9:Q10" si="10">+O9*P9</f>
        <v>0</v>
      </c>
      <c r="R9" s="56">
        <f t="shared" ref="R9:R10" si="11">(L9+Q9)</f>
        <v>35.64</v>
      </c>
      <c r="S9" s="57">
        <v>7.25</v>
      </c>
      <c r="T9" s="58">
        <f>(R9*S9)</f>
        <v>258.39</v>
      </c>
      <c r="U9" s="28"/>
      <c r="V9" s="29"/>
    </row>
    <row r="10" spans="1:23" ht="25.5" x14ac:dyDescent="0.25">
      <c r="A10" s="206"/>
      <c r="B10" s="200"/>
      <c r="C10" s="211" t="s">
        <v>80</v>
      </c>
      <c r="D10" s="226"/>
      <c r="E10" s="227"/>
      <c r="F10" s="59" t="s">
        <v>78</v>
      </c>
      <c r="G10" s="49">
        <v>148</v>
      </c>
      <c r="H10" s="50">
        <v>148</v>
      </c>
      <c r="I10" s="51">
        <v>1</v>
      </c>
      <c r="J10" s="103">
        <f t="shared" si="3"/>
        <v>148</v>
      </c>
      <c r="K10" s="52">
        <v>1.67E-2</v>
      </c>
      <c r="L10" s="62">
        <f t="shared" si="8"/>
        <v>2.4716</v>
      </c>
      <c r="M10" s="61">
        <v>0</v>
      </c>
      <c r="N10" s="51">
        <v>0</v>
      </c>
      <c r="O10" s="49">
        <f t="shared" si="9"/>
        <v>0</v>
      </c>
      <c r="P10" s="54">
        <v>0</v>
      </c>
      <c r="Q10" s="55">
        <f t="shared" si="10"/>
        <v>0</v>
      </c>
      <c r="R10" s="56">
        <f t="shared" si="11"/>
        <v>2.4716</v>
      </c>
      <c r="S10" s="57">
        <v>7.25</v>
      </c>
      <c r="T10" s="58">
        <f>(R10*S10)</f>
        <v>17.9191</v>
      </c>
      <c r="U10" s="28"/>
      <c r="V10" s="29"/>
    </row>
    <row r="11" spans="1:23" ht="25.5" x14ac:dyDescent="0.25">
      <c r="A11" s="206"/>
      <c r="B11" s="200"/>
      <c r="C11" s="211" t="s">
        <v>82</v>
      </c>
      <c r="D11" s="226"/>
      <c r="E11" s="227"/>
      <c r="F11" s="59" t="s">
        <v>81</v>
      </c>
      <c r="G11" s="49">
        <v>148</v>
      </c>
      <c r="H11" s="50">
        <v>148</v>
      </c>
      <c r="I11" s="51">
        <v>1</v>
      </c>
      <c r="J11" s="103">
        <f t="shared" si="3"/>
        <v>148</v>
      </c>
      <c r="K11" s="52">
        <v>0.05</v>
      </c>
      <c r="L11" s="62">
        <f t="shared" si="8"/>
        <v>7.4</v>
      </c>
      <c r="M11" s="61">
        <v>0</v>
      </c>
      <c r="N11" s="51">
        <v>0</v>
      </c>
      <c r="O11" s="49">
        <f t="shared" ref="O11:O13" si="12">+M11*N11</f>
        <v>0</v>
      </c>
      <c r="P11" s="54">
        <v>0</v>
      </c>
      <c r="Q11" s="55">
        <f t="shared" ref="Q11:Q13" si="13">+O11*P11</f>
        <v>0</v>
      </c>
      <c r="R11" s="56">
        <f t="shared" ref="R11:R13" si="14">(L11+Q11)</f>
        <v>7.4</v>
      </c>
      <c r="S11" s="57">
        <v>7.25</v>
      </c>
      <c r="T11" s="58">
        <f t="shared" ref="T11:T13" si="15">(R11*S11)</f>
        <v>53.650000000000006</v>
      </c>
      <c r="U11" s="28"/>
      <c r="V11" s="29"/>
    </row>
    <row r="12" spans="1:23" ht="25.5" x14ac:dyDescent="0.25">
      <c r="A12" s="206"/>
      <c r="B12" s="200"/>
      <c r="C12" s="211" t="s">
        <v>83</v>
      </c>
      <c r="D12" s="226"/>
      <c r="E12" s="227"/>
      <c r="F12" s="59" t="s">
        <v>84</v>
      </c>
      <c r="G12" s="49">
        <v>297</v>
      </c>
      <c r="H12" s="50">
        <v>297</v>
      </c>
      <c r="I12" s="51">
        <v>1</v>
      </c>
      <c r="J12" s="103">
        <f t="shared" si="3"/>
        <v>297</v>
      </c>
      <c r="K12" s="52">
        <v>0.05</v>
      </c>
      <c r="L12" s="62">
        <f t="shared" si="8"/>
        <v>14.850000000000001</v>
      </c>
      <c r="M12" s="61">
        <v>0</v>
      </c>
      <c r="N12" s="51">
        <v>0</v>
      </c>
      <c r="O12" s="49">
        <f t="shared" si="12"/>
        <v>0</v>
      </c>
      <c r="P12" s="54">
        <v>0</v>
      </c>
      <c r="Q12" s="55">
        <f t="shared" si="13"/>
        <v>0</v>
      </c>
      <c r="R12" s="56">
        <f t="shared" si="14"/>
        <v>14.850000000000001</v>
      </c>
      <c r="S12" s="57">
        <v>7.25</v>
      </c>
      <c r="T12" s="58">
        <f t="shared" si="15"/>
        <v>107.66250000000001</v>
      </c>
      <c r="U12" s="28"/>
      <c r="V12" s="29"/>
    </row>
    <row r="13" spans="1:23" ht="25.5" x14ac:dyDescent="0.25">
      <c r="A13" s="206"/>
      <c r="B13" s="200"/>
      <c r="C13" s="211" t="s">
        <v>86</v>
      </c>
      <c r="D13" s="226"/>
      <c r="E13" s="227"/>
      <c r="F13" s="59" t="s">
        <v>85</v>
      </c>
      <c r="G13" s="49">
        <v>2524</v>
      </c>
      <c r="H13" s="50">
        <v>2524</v>
      </c>
      <c r="I13" s="51">
        <v>1</v>
      </c>
      <c r="J13" s="103">
        <f t="shared" si="3"/>
        <v>2524</v>
      </c>
      <c r="K13" s="52">
        <v>1.67E-2</v>
      </c>
      <c r="L13" s="62">
        <f t="shared" si="8"/>
        <v>42.150799999999997</v>
      </c>
      <c r="M13" s="61">
        <v>0</v>
      </c>
      <c r="N13" s="51">
        <v>0</v>
      </c>
      <c r="O13" s="49">
        <f t="shared" si="12"/>
        <v>0</v>
      </c>
      <c r="P13" s="54">
        <v>0</v>
      </c>
      <c r="Q13" s="55">
        <f t="shared" si="13"/>
        <v>0</v>
      </c>
      <c r="R13" s="56">
        <f t="shared" si="14"/>
        <v>42.150799999999997</v>
      </c>
      <c r="S13" s="57">
        <v>7.25</v>
      </c>
      <c r="T13" s="58">
        <f t="shared" si="15"/>
        <v>305.5933</v>
      </c>
      <c r="U13" s="28"/>
      <c r="V13" s="29"/>
    </row>
    <row r="14" spans="1:23" ht="25.5" x14ac:dyDescent="0.25">
      <c r="A14" s="206"/>
      <c r="B14" s="200"/>
      <c r="C14" s="202" t="s">
        <v>88</v>
      </c>
      <c r="D14" s="202"/>
      <c r="E14" s="202"/>
      <c r="F14" s="59" t="s">
        <v>87</v>
      </c>
      <c r="G14" s="49">
        <v>445</v>
      </c>
      <c r="H14" s="50">
        <v>445</v>
      </c>
      <c r="I14" s="51">
        <v>2</v>
      </c>
      <c r="J14" s="103">
        <f t="shared" si="3"/>
        <v>890</v>
      </c>
      <c r="K14" s="52">
        <v>1.67E-2</v>
      </c>
      <c r="L14" s="53">
        <f>(J14*K14)</f>
        <v>14.863</v>
      </c>
      <c r="M14" s="61">
        <v>0</v>
      </c>
      <c r="N14" s="51">
        <v>0</v>
      </c>
      <c r="O14" s="49">
        <f t="shared" si="0"/>
        <v>0</v>
      </c>
      <c r="P14" s="54">
        <v>0</v>
      </c>
      <c r="Q14" s="55">
        <f t="shared" si="4"/>
        <v>0</v>
      </c>
      <c r="R14" s="56">
        <f t="shared" si="1"/>
        <v>14.863</v>
      </c>
      <c r="S14" s="57">
        <v>7.25</v>
      </c>
      <c r="T14" s="58">
        <f>(R14*S14)</f>
        <v>107.75675</v>
      </c>
      <c r="U14" s="28">
        <f>H14/G14</f>
        <v>1</v>
      </c>
      <c r="V14" s="29"/>
    </row>
    <row r="15" spans="1:23" x14ac:dyDescent="0.25">
      <c r="A15" s="206"/>
      <c r="B15" s="200"/>
      <c r="C15" s="204" t="s">
        <v>98</v>
      </c>
      <c r="D15" s="204"/>
      <c r="E15" s="204"/>
      <c r="F15" s="63" t="s">
        <v>58</v>
      </c>
      <c r="G15" s="49">
        <f>H7</f>
        <v>1901</v>
      </c>
      <c r="H15" s="50">
        <v>1331</v>
      </c>
      <c r="I15" s="51">
        <v>1</v>
      </c>
      <c r="J15" s="103">
        <f t="shared" si="3"/>
        <v>1331</v>
      </c>
      <c r="K15" s="52">
        <v>1</v>
      </c>
      <c r="L15" s="53">
        <f t="shared" si="5"/>
        <v>1331</v>
      </c>
      <c r="M15" s="61">
        <f>G15-H15</f>
        <v>570</v>
      </c>
      <c r="N15" s="51">
        <f t="shared" si="6"/>
        <v>1</v>
      </c>
      <c r="O15" s="49">
        <f t="shared" si="0"/>
        <v>570</v>
      </c>
      <c r="P15" s="54">
        <v>0.02</v>
      </c>
      <c r="Q15" s="55">
        <f t="shared" si="4"/>
        <v>11.4</v>
      </c>
      <c r="R15" s="56">
        <f t="shared" si="1"/>
        <v>1342.4</v>
      </c>
      <c r="S15" s="57">
        <v>7.25</v>
      </c>
      <c r="T15" s="58">
        <f t="shared" si="7"/>
        <v>9732.4000000000015</v>
      </c>
      <c r="U15" s="28">
        <f t="shared" si="2"/>
        <v>0.70015781167806412</v>
      </c>
      <c r="V15" s="29"/>
    </row>
    <row r="16" spans="1:23" x14ac:dyDescent="0.25">
      <c r="A16" s="206"/>
      <c r="B16" s="200"/>
      <c r="C16" s="202" t="s">
        <v>99</v>
      </c>
      <c r="D16" s="202"/>
      <c r="E16" s="202"/>
      <c r="F16" s="59" t="s">
        <v>62</v>
      </c>
      <c r="G16" s="49">
        <v>1901</v>
      </c>
      <c r="H16" s="50">
        <v>1901</v>
      </c>
      <c r="I16" s="51">
        <v>1</v>
      </c>
      <c r="J16" s="103">
        <f t="shared" si="3"/>
        <v>1901</v>
      </c>
      <c r="K16" s="52">
        <v>0.05</v>
      </c>
      <c r="L16" s="53">
        <f>(J16*K16)</f>
        <v>95.050000000000011</v>
      </c>
      <c r="M16" s="61">
        <f t="shared" ref="M16:M24" si="16">G16-H16</f>
        <v>0</v>
      </c>
      <c r="N16" s="51">
        <v>0</v>
      </c>
      <c r="O16" s="49">
        <f t="shared" si="0"/>
        <v>0</v>
      </c>
      <c r="P16" s="54">
        <v>0</v>
      </c>
      <c r="Q16" s="55">
        <f t="shared" si="4"/>
        <v>0</v>
      </c>
      <c r="R16" s="56">
        <f t="shared" si="1"/>
        <v>95.050000000000011</v>
      </c>
      <c r="S16" s="57">
        <v>7.25</v>
      </c>
      <c r="T16" s="58">
        <f>(R16*S16)</f>
        <v>689.11250000000007</v>
      </c>
      <c r="U16" s="28"/>
      <c r="V16" s="29"/>
    </row>
    <row r="17" spans="1:24" x14ac:dyDescent="0.25">
      <c r="A17" s="206"/>
      <c r="B17" s="200"/>
      <c r="C17" s="202" t="s">
        <v>100</v>
      </c>
      <c r="D17" s="202"/>
      <c r="E17" s="202"/>
      <c r="F17" s="60" t="s">
        <v>57</v>
      </c>
      <c r="G17" s="49">
        <f>H7*0.2</f>
        <v>380.20000000000005</v>
      </c>
      <c r="H17" s="50">
        <v>190</v>
      </c>
      <c r="I17" s="51">
        <v>1</v>
      </c>
      <c r="J17" s="103">
        <f t="shared" si="3"/>
        <v>190</v>
      </c>
      <c r="K17" s="52">
        <v>0.05</v>
      </c>
      <c r="L17" s="53">
        <f>(J17*K17)</f>
        <v>9.5</v>
      </c>
      <c r="M17" s="61">
        <f>G17-H17</f>
        <v>190.20000000000005</v>
      </c>
      <c r="N17" s="51">
        <f>(I17)</f>
        <v>1</v>
      </c>
      <c r="O17" s="49">
        <f t="shared" si="0"/>
        <v>190.20000000000005</v>
      </c>
      <c r="P17" s="54">
        <v>0.02</v>
      </c>
      <c r="Q17" s="55">
        <f t="shared" si="4"/>
        <v>3.8040000000000012</v>
      </c>
      <c r="R17" s="56">
        <f t="shared" si="1"/>
        <v>13.304000000000002</v>
      </c>
      <c r="S17" s="57">
        <v>7.25</v>
      </c>
      <c r="T17" s="58">
        <f>(R17*S17)</f>
        <v>96.454000000000008</v>
      </c>
      <c r="U17" s="28"/>
      <c r="V17" s="29"/>
    </row>
    <row r="18" spans="1:24" x14ac:dyDescent="0.25">
      <c r="A18" s="206"/>
      <c r="B18" s="200"/>
      <c r="C18" s="202" t="s">
        <v>101</v>
      </c>
      <c r="D18" s="202"/>
      <c r="E18" s="202"/>
      <c r="F18" s="59" t="s">
        <v>59</v>
      </c>
      <c r="G18" s="49">
        <v>1901</v>
      </c>
      <c r="H18" s="50">
        <v>1901</v>
      </c>
      <c r="I18" s="51">
        <v>1</v>
      </c>
      <c r="J18" s="103">
        <f t="shared" si="3"/>
        <v>1901</v>
      </c>
      <c r="K18" s="52">
        <v>0.03</v>
      </c>
      <c r="L18" s="62">
        <f t="shared" si="5"/>
        <v>57.03</v>
      </c>
      <c r="M18" s="61">
        <f t="shared" si="16"/>
        <v>0</v>
      </c>
      <c r="N18" s="51">
        <v>0</v>
      </c>
      <c r="O18" s="49">
        <f t="shared" si="0"/>
        <v>0</v>
      </c>
      <c r="P18" s="54">
        <v>0</v>
      </c>
      <c r="Q18" s="55">
        <f t="shared" si="4"/>
        <v>0</v>
      </c>
      <c r="R18" s="56">
        <f t="shared" si="1"/>
        <v>57.03</v>
      </c>
      <c r="S18" s="57">
        <v>7.25</v>
      </c>
      <c r="T18" s="58">
        <f t="shared" si="7"/>
        <v>413.46750000000003</v>
      </c>
      <c r="U18" s="28">
        <f t="shared" si="2"/>
        <v>1</v>
      </c>
      <c r="V18" s="29"/>
      <c r="W18" s="115"/>
    </row>
    <row r="19" spans="1:24" s="38" customFormat="1" x14ac:dyDescent="0.25">
      <c r="A19" s="206"/>
      <c r="B19" s="200"/>
      <c r="C19" s="204" t="s">
        <v>102</v>
      </c>
      <c r="D19" s="204"/>
      <c r="E19" s="204"/>
      <c r="F19" s="60" t="s">
        <v>60</v>
      </c>
      <c r="G19" s="49">
        <f>G6</f>
        <v>2969.3756746303989</v>
      </c>
      <c r="H19" s="50">
        <v>2969</v>
      </c>
      <c r="I19" s="51">
        <v>1</v>
      </c>
      <c r="J19" s="103">
        <f t="shared" si="3"/>
        <v>2969</v>
      </c>
      <c r="K19" s="52">
        <v>0.03</v>
      </c>
      <c r="L19" s="53">
        <f>(J19*K19)</f>
        <v>89.07</v>
      </c>
      <c r="M19" s="61">
        <f>(G19-H19)</f>
        <v>0.37567463039886206</v>
      </c>
      <c r="N19" s="51">
        <v>0</v>
      </c>
      <c r="O19" s="49">
        <f t="shared" si="0"/>
        <v>0</v>
      </c>
      <c r="P19" s="54">
        <v>0</v>
      </c>
      <c r="Q19" s="55">
        <f t="shared" si="4"/>
        <v>0</v>
      </c>
      <c r="R19" s="56">
        <f t="shared" si="1"/>
        <v>89.07</v>
      </c>
      <c r="S19" s="57">
        <v>7.25</v>
      </c>
      <c r="T19" s="58">
        <f>(R19*S19)</f>
        <v>645.75749999999994</v>
      </c>
      <c r="U19" s="28">
        <f t="shared" ref="U19:U37" si="17">H19/G19</f>
        <v>0.99987348363037776</v>
      </c>
      <c r="V19" s="29"/>
      <c r="W19" s="30"/>
    </row>
    <row r="20" spans="1:24" ht="15.75" thickBot="1" x14ac:dyDescent="0.3">
      <c r="A20" s="207"/>
      <c r="B20" s="201"/>
      <c r="C20" s="203" t="s">
        <v>104</v>
      </c>
      <c r="D20" s="203"/>
      <c r="E20" s="203"/>
      <c r="F20" s="64" t="s">
        <v>61</v>
      </c>
      <c r="G20" s="65">
        <f>G6</f>
        <v>2969.3756746303989</v>
      </c>
      <c r="H20" s="50">
        <v>2969</v>
      </c>
      <c r="I20" s="66">
        <v>1</v>
      </c>
      <c r="J20" s="103">
        <f t="shared" si="3"/>
        <v>2969</v>
      </c>
      <c r="K20" s="67">
        <v>0.03</v>
      </c>
      <c r="L20" s="68">
        <f>(J20*K20)</f>
        <v>89.07</v>
      </c>
      <c r="M20" s="108">
        <f t="shared" si="16"/>
        <v>0.37567463039886206</v>
      </c>
      <c r="N20" s="66">
        <v>0</v>
      </c>
      <c r="O20" s="65">
        <f t="shared" si="0"/>
        <v>0</v>
      </c>
      <c r="P20" s="69">
        <v>0</v>
      </c>
      <c r="Q20" s="70">
        <f t="shared" si="4"/>
        <v>0</v>
      </c>
      <c r="R20" s="71">
        <f t="shared" si="1"/>
        <v>89.07</v>
      </c>
      <c r="S20" s="72">
        <v>7.25</v>
      </c>
      <c r="T20" s="73">
        <f>(R20*S20)</f>
        <v>645.75749999999994</v>
      </c>
      <c r="U20" s="28">
        <f t="shared" si="17"/>
        <v>0.99987348363037776</v>
      </c>
      <c r="V20" s="29"/>
    </row>
    <row r="21" spans="1:24" s="34" customFormat="1" ht="16.5" thickTop="1" thickBot="1" x14ac:dyDescent="0.3">
      <c r="A21" s="217" t="s">
        <v>105</v>
      </c>
      <c r="B21" s="217"/>
      <c r="C21" s="217"/>
      <c r="D21" s="217"/>
      <c r="E21" s="217"/>
      <c r="F21" s="74"/>
      <c r="G21" s="75">
        <f>G4</f>
        <v>4046</v>
      </c>
      <c r="H21" s="75">
        <f>H4</f>
        <v>2969</v>
      </c>
      <c r="I21" s="116">
        <f>J21/H21</f>
        <v>9.0970023576961943</v>
      </c>
      <c r="J21" s="76">
        <f>SUM(J4:J20)</f>
        <v>27009</v>
      </c>
      <c r="K21" s="77">
        <f>L21/J21</f>
        <v>0.14183468843718761</v>
      </c>
      <c r="L21" s="78">
        <f>SUM(L4:L20)</f>
        <v>3830.8131000000003</v>
      </c>
      <c r="M21" s="186">
        <f>M5</f>
        <v>1077</v>
      </c>
      <c r="N21" s="117">
        <f>O21/M21</f>
        <v>4.1993738854506946</v>
      </c>
      <c r="O21" s="79">
        <f>SUM(O4:O20)</f>
        <v>4522.7256746303983</v>
      </c>
      <c r="P21" s="77">
        <f>Q21/O21</f>
        <v>2.0000000000000004E-2</v>
      </c>
      <c r="Q21" s="80">
        <f>SUM(Q4:Q20)</f>
        <v>90.454513492607987</v>
      </c>
      <c r="R21" s="81">
        <f t="shared" si="1"/>
        <v>3921.2676134926082</v>
      </c>
      <c r="S21" s="82"/>
      <c r="T21" s="99">
        <f>SUM(T4:T20)</f>
        <v>28429.190197821408</v>
      </c>
      <c r="U21" s="32">
        <f t="shared" si="17"/>
        <v>0.73381117152743447</v>
      </c>
      <c r="V21" s="33"/>
    </row>
    <row r="22" spans="1:24" ht="16.5" customHeight="1" thickTop="1" thickBot="1" x14ac:dyDescent="0.3">
      <c r="A22" s="218" t="s">
        <v>54</v>
      </c>
      <c r="B22" s="221" t="s">
        <v>44</v>
      </c>
      <c r="C22" s="214" t="s">
        <v>107</v>
      </c>
      <c r="D22" s="214"/>
      <c r="E22" s="214"/>
      <c r="F22" s="83" t="s">
        <v>49</v>
      </c>
      <c r="G22" s="40">
        <v>27</v>
      </c>
      <c r="H22" s="84">
        <v>27</v>
      </c>
      <c r="I22" s="41">
        <v>1</v>
      </c>
      <c r="J22" s="85">
        <f>+H22*I22</f>
        <v>27</v>
      </c>
      <c r="K22" s="42">
        <v>8.3299999999999999E-2</v>
      </c>
      <c r="L22" s="43">
        <f>+J22*K22</f>
        <v>2.2490999999999999</v>
      </c>
      <c r="M22" s="131">
        <f t="shared" si="16"/>
        <v>0</v>
      </c>
      <c r="N22" s="85">
        <v>0</v>
      </c>
      <c r="O22" s="40">
        <f>+M22*N22</f>
        <v>0</v>
      </c>
      <c r="P22" s="44">
        <v>0</v>
      </c>
      <c r="Q22" s="45">
        <f>(O22*P22)</f>
        <v>0</v>
      </c>
      <c r="R22" s="46">
        <f t="shared" si="1"/>
        <v>2.2490999999999999</v>
      </c>
      <c r="S22" s="47">
        <v>47.82</v>
      </c>
      <c r="T22" s="48">
        <f t="shared" ref="T22:T27" si="18">(R22*S22)</f>
        <v>107.55196199999999</v>
      </c>
      <c r="U22" s="28">
        <f t="shared" si="17"/>
        <v>1</v>
      </c>
      <c r="V22" s="29"/>
    </row>
    <row r="23" spans="1:24" x14ac:dyDescent="0.25">
      <c r="A23" s="219"/>
      <c r="B23" s="222"/>
      <c r="C23" s="214" t="s">
        <v>108</v>
      </c>
      <c r="D23" s="214"/>
      <c r="E23" s="214"/>
      <c r="F23" s="83" t="s">
        <v>47</v>
      </c>
      <c r="G23" s="40">
        <v>27</v>
      </c>
      <c r="H23" s="84">
        <v>27</v>
      </c>
      <c r="I23" s="41">
        <v>1</v>
      </c>
      <c r="J23" s="85">
        <f>+H23*I23</f>
        <v>27</v>
      </c>
      <c r="K23" s="42">
        <v>1</v>
      </c>
      <c r="L23" s="43">
        <f>+J23*K23</f>
        <v>27</v>
      </c>
      <c r="M23" s="132">
        <f>G23-H23</f>
        <v>0</v>
      </c>
      <c r="N23" s="85">
        <v>0</v>
      </c>
      <c r="O23" s="40">
        <f>+M23*N23</f>
        <v>0</v>
      </c>
      <c r="P23" s="44">
        <v>0</v>
      </c>
      <c r="Q23" s="45">
        <f>(O23*P23)</f>
        <v>0</v>
      </c>
      <c r="R23" s="46">
        <f t="shared" si="1"/>
        <v>27</v>
      </c>
      <c r="S23" s="47">
        <v>47.82</v>
      </c>
      <c r="T23" s="48">
        <f t="shared" si="18"/>
        <v>1291.1400000000001</v>
      </c>
      <c r="U23" s="28">
        <f>H23/G23</f>
        <v>1</v>
      </c>
      <c r="V23" s="29"/>
    </row>
    <row r="24" spans="1:24" x14ac:dyDescent="0.25">
      <c r="A24" s="219"/>
      <c r="B24" s="223"/>
      <c r="C24" s="202" t="s">
        <v>109</v>
      </c>
      <c r="D24" s="202"/>
      <c r="E24" s="202"/>
      <c r="F24" s="59" t="s">
        <v>48</v>
      </c>
      <c r="G24" s="49">
        <v>27</v>
      </c>
      <c r="H24" s="86">
        <v>27</v>
      </c>
      <c r="I24" s="51">
        <v>1</v>
      </c>
      <c r="J24" s="87">
        <f>+H24*I24</f>
        <v>27</v>
      </c>
      <c r="K24" s="52">
        <v>1</v>
      </c>
      <c r="L24" s="53">
        <f>+J24*K24</f>
        <v>27</v>
      </c>
      <c r="M24" s="61">
        <f t="shared" si="16"/>
        <v>0</v>
      </c>
      <c r="N24" s="85">
        <v>0</v>
      </c>
      <c r="O24" s="49">
        <f>+M24*N24</f>
        <v>0</v>
      </c>
      <c r="P24" s="54">
        <v>0</v>
      </c>
      <c r="Q24" s="55">
        <f>(O24*P24)</f>
        <v>0</v>
      </c>
      <c r="R24" s="56">
        <f t="shared" si="1"/>
        <v>27</v>
      </c>
      <c r="S24" s="57">
        <v>47.82</v>
      </c>
      <c r="T24" s="58">
        <f t="shared" si="18"/>
        <v>1291.1400000000001</v>
      </c>
      <c r="U24" s="28">
        <f t="shared" si="17"/>
        <v>1</v>
      </c>
      <c r="V24" s="29"/>
    </row>
    <row r="25" spans="1:24" x14ac:dyDescent="0.25">
      <c r="A25" s="219"/>
      <c r="B25" s="223"/>
      <c r="C25" s="216" t="s">
        <v>112</v>
      </c>
      <c r="D25" s="216"/>
      <c r="E25" s="216"/>
      <c r="F25" s="169" t="s">
        <v>90</v>
      </c>
      <c r="G25" s="49">
        <v>27</v>
      </c>
      <c r="H25" s="49">
        <v>27</v>
      </c>
      <c r="I25" s="51">
        <v>1</v>
      </c>
      <c r="J25" s="51">
        <f>(I25*H25)</f>
        <v>27</v>
      </c>
      <c r="K25" s="52">
        <v>0.18329999999999999</v>
      </c>
      <c r="L25" s="53">
        <f>J25*K25</f>
        <v>4.9490999999999996</v>
      </c>
      <c r="M25" s="88">
        <v>0</v>
      </c>
      <c r="N25" s="85">
        <v>0</v>
      </c>
      <c r="O25" s="50">
        <f>(M25*N25)</f>
        <v>0</v>
      </c>
      <c r="P25" s="52">
        <v>0</v>
      </c>
      <c r="Q25" s="89">
        <f>(P25*O25)</f>
        <v>0</v>
      </c>
      <c r="R25" s="56">
        <f t="shared" ref="R25" si="19">(L25+Q25)</f>
        <v>4.9490999999999996</v>
      </c>
      <c r="S25" s="57">
        <v>47.82</v>
      </c>
      <c r="T25" s="58">
        <f t="shared" si="18"/>
        <v>236.66596199999998</v>
      </c>
      <c r="U25" s="28"/>
      <c r="V25" s="29"/>
    </row>
    <row r="26" spans="1:24" s="38" customFormat="1" ht="27.75" customHeight="1" x14ac:dyDescent="0.25">
      <c r="A26" s="219"/>
      <c r="B26" s="223"/>
      <c r="C26" s="216" t="s">
        <v>114</v>
      </c>
      <c r="D26" s="216"/>
      <c r="E26" s="216"/>
      <c r="F26" s="169" t="s">
        <v>91</v>
      </c>
      <c r="G26" s="49">
        <v>27</v>
      </c>
      <c r="H26" s="49">
        <v>27</v>
      </c>
      <c r="I26" s="51">
        <v>1</v>
      </c>
      <c r="J26" s="51">
        <f>(I26*H26)</f>
        <v>27</v>
      </c>
      <c r="K26" s="52">
        <v>8.3299999999999999E-2</v>
      </c>
      <c r="L26" s="53">
        <f>J26*K26</f>
        <v>2.2490999999999999</v>
      </c>
      <c r="M26" s="88">
        <v>0</v>
      </c>
      <c r="N26" s="85">
        <v>0</v>
      </c>
      <c r="O26" s="50">
        <f>(M26*N26)</f>
        <v>0</v>
      </c>
      <c r="P26" s="52">
        <v>0</v>
      </c>
      <c r="Q26" s="89">
        <f>(P26*O26)</f>
        <v>0</v>
      </c>
      <c r="R26" s="56">
        <f t="shared" si="1"/>
        <v>2.2490999999999999</v>
      </c>
      <c r="S26" s="57">
        <v>47.82</v>
      </c>
      <c r="T26" s="58">
        <f t="shared" si="18"/>
        <v>107.55196199999999</v>
      </c>
      <c r="U26" s="36">
        <f t="shared" si="17"/>
        <v>1</v>
      </c>
      <c r="V26" s="37"/>
    </row>
    <row r="27" spans="1:24" s="38" customFormat="1" ht="27.75" customHeight="1" x14ac:dyDescent="0.25">
      <c r="A27" s="219"/>
      <c r="B27" s="223"/>
      <c r="C27" s="211" t="s">
        <v>116</v>
      </c>
      <c r="D27" s="235"/>
      <c r="E27" s="236"/>
      <c r="F27" s="169" t="s">
        <v>93</v>
      </c>
      <c r="G27" s="49">
        <v>14</v>
      </c>
      <c r="H27" s="49">
        <v>14</v>
      </c>
      <c r="I27" s="51">
        <v>9</v>
      </c>
      <c r="J27" s="51">
        <f>(I27*H27)</f>
        <v>126</v>
      </c>
      <c r="K27" s="52">
        <v>8.3299999999999999E-2</v>
      </c>
      <c r="L27" s="53">
        <f>J27*K27</f>
        <v>10.495799999999999</v>
      </c>
      <c r="M27" s="88">
        <v>0</v>
      </c>
      <c r="N27" s="85">
        <v>0</v>
      </c>
      <c r="O27" s="50">
        <f>(M27*N27)</f>
        <v>0</v>
      </c>
      <c r="P27" s="52">
        <v>0</v>
      </c>
      <c r="Q27" s="89">
        <f>(P27*O27)</f>
        <v>0</v>
      </c>
      <c r="R27" s="56">
        <f t="shared" ref="R27" si="20">(L27+Q27)</f>
        <v>10.495799999999999</v>
      </c>
      <c r="S27" s="57">
        <v>47.82</v>
      </c>
      <c r="T27" s="58">
        <f t="shared" si="18"/>
        <v>501.90915599999994</v>
      </c>
      <c r="U27" s="36">
        <f t="shared" si="17"/>
        <v>1</v>
      </c>
      <c r="V27" s="37"/>
    </row>
    <row r="28" spans="1:24" x14ac:dyDescent="0.25">
      <c r="A28" s="205"/>
      <c r="B28" s="223"/>
      <c r="C28" s="215" t="s">
        <v>5</v>
      </c>
      <c r="D28" s="215"/>
      <c r="E28" s="215"/>
      <c r="F28" s="171"/>
      <c r="G28" s="172">
        <f>G22</f>
        <v>27</v>
      </c>
      <c r="H28" s="172">
        <f>H22</f>
        <v>27</v>
      </c>
      <c r="I28" s="133">
        <f>J28/H28</f>
        <v>9.6666666666666661</v>
      </c>
      <c r="J28" s="172">
        <f>SUM(J22:J27)</f>
        <v>261</v>
      </c>
      <c r="K28" s="173"/>
      <c r="L28" s="174">
        <f>SUM(L22:L27)</f>
        <v>73.943100000000001</v>
      </c>
      <c r="M28" s="175">
        <f>(G28-H28)</f>
        <v>0</v>
      </c>
      <c r="N28" s="176">
        <v>0</v>
      </c>
      <c r="O28" s="177">
        <f>SUM(O26:O26)</f>
        <v>0</v>
      </c>
      <c r="P28" s="134">
        <v>0</v>
      </c>
      <c r="Q28" s="178">
        <f>SUM(Q26:Q26)</f>
        <v>0</v>
      </c>
      <c r="R28" s="179">
        <f t="shared" si="1"/>
        <v>73.943100000000001</v>
      </c>
      <c r="S28" s="180"/>
      <c r="T28" s="181">
        <f>SUM(T22:T27)</f>
        <v>3535.9590420000004</v>
      </c>
      <c r="U28" s="28">
        <f t="shared" si="17"/>
        <v>1</v>
      </c>
      <c r="V28" s="29"/>
    </row>
    <row r="29" spans="1:24" ht="15" customHeight="1" x14ac:dyDescent="0.25">
      <c r="A29" s="219" t="s">
        <v>55</v>
      </c>
      <c r="B29" s="223" t="s">
        <v>51</v>
      </c>
      <c r="C29" s="214" t="s">
        <v>107</v>
      </c>
      <c r="D29" s="214"/>
      <c r="E29" s="214"/>
      <c r="F29" s="59" t="s">
        <v>50</v>
      </c>
      <c r="G29" s="49">
        <v>80</v>
      </c>
      <c r="H29" s="49">
        <f>G29</f>
        <v>80</v>
      </c>
      <c r="I29" s="51">
        <v>1</v>
      </c>
      <c r="J29" s="87">
        <f>+H29*I29</f>
        <v>80</v>
      </c>
      <c r="K29" s="52">
        <v>0.08</v>
      </c>
      <c r="L29" s="53">
        <f>+J29*K29</f>
        <v>6.4</v>
      </c>
      <c r="M29" s="61">
        <f>G29-H29</f>
        <v>0</v>
      </c>
      <c r="N29" s="85">
        <v>0</v>
      </c>
      <c r="O29" s="49">
        <f>+M29*N29</f>
        <v>0</v>
      </c>
      <c r="P29" s="54">
        <v>0</v>
      </c>
      <c r="Q29" s="55">
        <f>(O29*P29)</f>
        <v>0</v>
      </c>
      <c r="R29" s="56">
        <f t="shared" si="1"/>
        <v>6.4</v>
      </c>
      <c r="S29" s="57">
        <v>47.82</v>
      </c>
      <c r="T29" s="58">
        <f t="shared" ref="T29:T35" si="21">(R29*S29)</f>
        <v>306.048</v>
      </c>
      <c r="U29" s="28">
        <f t="shared" si="17"/>
        <v>1</v>
      </c>
      <c r="V29" s="29"/>
    </row>
    <row r="30" spans="1:24" ht="15" customHeight="1" x14ac:dyDescent="0.25">
      <c r="A30" s="219"/>
      <c r="B30" s="223"/>
      <c r="C30" s="214" t="s">
        <v>108</v>
      </c>
      <c r="D30" s="214"/>
      <c r="E30" s="214"/>
      <c r="F30" s="59" t="s">
        <v>47</v>
      </c>
      <c r="G30" s="49">
        <v>80</v>
      </c>
      <c r="H30" s="49">
        <f>G30</f>
        <v>80</v>
      </c>
      <c r="I30" s="51">
        <v>1</v>
      </c>
      <c r="J30" s="87">
        <f>+H30*I30</f>
        <v>80</v>
      </c>
      <c r="K30" s="52">
        <v>1</v>
      </c>
      <c r="L30" s="53">
        <f>+J30*K30</f>
        <v>80</v>
      </c>
      <c r="M30" s="61">
        <f>G30-H30</f>
        <v>0</v>
      </c>
      <c r="N30" s="85">
        <v>0</v>
      </c>
      <c r="O30" s="49">
        <f>+M30*N30</f>
        <v>0</v>
      </c>
      <c r="P30" s="54">
        <v>0</v>
      </c>
      <c r="Q30" s="55">
        <f>(O30*P30)</f>
        <v>0</v>
      </c>
      <c r="R30" s="56">
        <f t="shared" si="1"/>
        <v>80</v>
      </c>
      <c r="S30" s="57">
        <v>47.82</v>
      </c>
      <c r="T30" s="58">
        <f t="shared" si="21"/>
        <v>3825.6</v>
      </c>
      <c r="U30" s="28">
        <f>H30/G30</f>
        <v>1</v>
      </c>
      <c r="V30" s="29"/>
    </row>
    <row r="31" spans="1:24" x14ac:dyDescent="0.25">
      <c r="A31" s="219"/>
      <c r="B31" s="223"/>
      <c r="C31" s="202" t="s">
        <v>115</v>
      </c>
      <c r="D31" s="202"/>
      <c r="E31" s="202"/>
      <c r="F31" s="59" t="s">
        <v>48</v>
      </c>
      <c r="G31" s="49">
        <v>80</v>
      </c>
      <c r="H31" s="49">
        <f>G31</f>
        <v>80</v>
      </c>
      <c r="I31" s="51">
        <v>1</v>
      </c>
      <c r="J31" s="87">
        <f>+H31*I31</f>
        <v>80</v>
      </c>
      <c r="K31" s="52">
        <v>1</v>
      </c>
      <c r="L31" s="53">
        <f>+J31*K31</f>
        <v>80</v>
      </c>
      <c r="M31" s="61">
        <f>G31-H31</f>
        <v>0</v>
      </c>
      <c r="N31" s="85">
        <v>0</v>
      </c>
      <c r="O31" s="49">
        <f>+M31*N31</f>
        <v>0</v>
      </c>
      <c r="P31" s="54">
        <v>0</v>
      </c>
      <c r="Q31" s="55">
        <f>(O31*P31)</f>
        <v>0</v>
      </c>
      <c r="R31" s="56">
        <f t="shared" si="1"/>
        <v>80</v>
      </c>
      <c r="S31" s="57">
        <v>47.82</v>
      </c>
      <c r="T31" s="58">
        <f t="shared" si="21"/>
        <v>3825.6</v>
      </c>
      <c r="U31" s="28">
        <f t="shared" si="17"/>
        <v>1</v>
      </c>
      <c r="V31" s="29"/>
      <c r="X31" s="34"/>
    </row>
    <row r="32" spans="1:24" x14ac:dyDescent="0.25">
      <c r="A32" s="219"/>
      <c r="B32" s="223"/>
      <c r="C32" s="216" t="s">
        <v>112</v>
      </c>
      <c r="D32" s="216"/>
      <c r="E32" s="216"/>
      <c r="F32" s="59" t="s">
        <v>92</v>
      </c>
      <c r="G32" s="49">
        <v>80</v>
      </c>
      <c r="H32" s="49">
        <v>80</v>
      </c>
      <c r="I32" s="51">
        <v>1</v>
      </c>
      <c r="J32" s="87">
        <v>80</v>
      </c>
      <c r="K32" s="52">
        <v>0.18329999999999999</v>
      </c>
      <c r="L32" s="53">
        <f>+J32*K32</f>
        <v>14.664</v>
      </c>
      <c r="M32" s="61">
        <f>G32-H32</f>
        <v>0</v>
      </c>
      <c r="N32" s="85">
        <v>0</v>
      </c>
      <c r="O32" s="49">
        <f>+M32*N32</f>
        <v>0</v>
      </c>
      <c r="P32" s="54">
        <v>0</v>
      </c>
      <c r="Q32" s="55">
        <f>(O32*P32)</f>
        <v>0</v>
      </c>
      <c r="R32" s="56">
        <f t="shared" ref="R32" si="22">(L32+Q32)</f>
        <v>14.664</v>
      </c>
      <c r="S32" s="57">
        <v>47.82</v>
      </c>
      <c r="T32" s="58">
        <f t="shared" si="21"/>
        <v>701.23248000000001</v>
      </c>
      <c r="U32" s="28"/>
      <c r="V32" s="29"/>
      <c r="X32" s="34"/>
    </row>
    <row r="33" spans="1:24" s="38" customFormat="1" ht="30" customHeight="1" x14ac:dyDescent="0.25">
      <c r="A33" s="219"/>
      <c r="B33" s="223"/>
      <c r="C33" s="216" t="s">
        <v>114</v>
      </c>
      <c r="D33" s="216"/>
      <c r="E33" s="216"/>
      <c r="F33" s="169" t="s">
        <v>91</v>
      </c>
      <c r="G33" s="49">
        <v>80</v>
      </c>
      <c r="H33" s="87">
        <f>G33</f>
        <v>80</v>
      </c>
      <c r="I33" s="51">
        <v>1</v>
      </c>
      <c r="J33" s="51">
        <f>(H33*I33)</f>
        <v>80</v>
      </c>
      <c r="K33" s="52">
        <f>(K26)</f>
        <v>8.3299999999999999E-2</v>
      </c>
      <c r="L33" s="53">
        <f>(J33*K33)</f>
        <v>6.6639999999999997</v>
      </c>
      <c r="M33" s="61">
        <v>0</v>
      </c>
      <c r="N33" s="85">
        <v>0</v>
      </c>
      <c r="O33" s="49">
        <f>(M33*N33)</f>
        <v>0</v>
      </c>
      <c r="P33" s="54">
        <v>0</v>
      </c>
      <c r="Q33" s="55">
        <f>(P33*O33)</f>
        <v>0</v>
      </c>
      <c r="R33" s="56">
        <f t="shared" si="1"/>
        <v>6.6639999999999997</v>
      </c>
      <c r="S33" s="57">
        <v>16.190000000000001</v>
      </c>
      <c r="T33" s="58">
        <f t="shared" si="21"/>
        <v>107.89016000000001</v>
      </c>
      <c r="U33" s="36">
        <f t="shared" si="17"/>
        <v>1</v>
      </c>
      <c r="V33" s="37"/>
      <c r="X33" s="39"/>
    </row>
    <row r="34" spans="1:24" ht="15" customHeight="1" x14ac:dyDescent="0.25">
      <c r="A34" s="219"/>
      <c r="B34" s="223"/>
      <c r="C34" s="211" t="s">
        <v>113</v>
      </c>
      <c r="D34" s="235"/>
      <c r="E34" s="236"/>
      <c r="F34" s="63" t="s">
        <v>93</v>
      </c>
      <c r="G34" s="86">
        <v>40</v>
      </c>
      <c r="H34" s="86">
        <v>40</v>
      </c>
      <c r="I34" s="51">
        <v>3</v>
      </c>
      <c r="J34" s="90">
        <f>H34*I34</f>
        <v>120</v>
      </c>
      <c r="K34" s="52">
        <v>8.3299999999999999E-2</v>
      </c>
      <c r="L34" s="53">
        <f>+J34*K34</f>
        <v>9.9960000000000004</v>
      </c>
      <c r="M34" s="61">
        <f>G34-H34</f>
        <v>0</v>
      </c>
      <c r="N34" s="87">
        <v>0</v>
      </c>
      <c r="O34" s="49">
        <f>+M34*N34</f>
        <v>0</v>
      </c>
      <c r="P34" s="54">
        <v>0</v>
      </c>
      <c r="Q34" s="55">
        <f>(O34*P34)</f>
        <v>0</v>
      </c>
      <c r="R34" s="56">
        <f t="shared" si="1"/>
        <v>9.9960000000000004</v>
      </c>
      <c r="S34" s="57">
        <v>16.190000000000001</v>
      </c>
      <c r="T34" s="58">
        <f t="shared" si="21"/>
        <v>161.83524000000003</v>
      </c>
      <c r="U34" s="28">
        <f t="shared" si="17"/>
        <v>1</v>
      </c>
      <c r="V34" s="29"/>
    </row>
    <row r="35" spans="1:24" x14ac:dyDescent="0.25">
      <c r="A35" s="219"/>
      <c r="B35" s="224"/>
      <c r="C35" s="242" t="s">
        <v>120</v>
      </c>
      <c r="D35" s="242"/>
      <c r="E35" s="242"/>
      <c r="F35" s="63" t="s">
        <v>58</v>
      </c>
      <c r="G35" s="86">
        <v>80</v>
      </c>
      <c r="H35" s="86">
        <v>80</v>
      </c>
      <c r="I35" s="51">
        <v>6</v>
      </c>
      <c r="J35" s="90">
        <f>H35*I35</f>
        <v>480</v>
      </c>
      <c r="K35" s="52">
        <v>0.16669999999999999</v>
      </c>
      <c r="L35" s="53">
        <f>+J35*K35</f>
        <v>80.015999999999991</v>
      </c>
      <c r="M35" s="61">
        <f>G35-H35</f>
        <v>0</v>
      </c>
      <c r="N35" s="87">
        <v>0</v>
      </c>
      <c r="O35" s="49">
        <f>+M35*N35</f>
        <v>0</v>
      </c>
      <c r="P35" s="54">
        <v>0</v>
      </c>
      <c r="Q35" s="55">
        <f>(O35*P35)</f>
        <v>0</v>
      </c>
      <c r="R35" s="56">
        <f t="shared" ref="R35" si="23">(L35+Q35)</f>
        <v>80.015999999999991</v>
      </c>
      <c r="S35" s="57">
        <v>16.190000000000001</v>
      </c>
      <c r="T35" s="58">
        <f t="shared" si="21"/>
        <v>1295.45904</v>
      </c>
      <c r="U35" s="28"/>
      <c r="V35" s="29"/>
    </row>
    <row r="36" spans="1:24" s="31" customFormat="1" ht="20.25" customHeight="1" thickBot="1" x14ac:dyDescent="0.3">
      <c r="A36" s="220"/>
      <c r="B36" s="225"/>
      <c r="C36" s="234" t="s">
        <v>5</v>
      </c>
      <c r="D36" s="234"/>
      <c r="E36" s="234"/>
      <c r="F36" s="187"/>
      <c r="G36" s="188">
        <v>80</v>
      </c>
      <c r="H36" s="189">
        <v>80</v>
      </c>
      <c r="I36" s="135">
        <f>J36/H36</f>
        <v>12.5</v>
      </c>
      <c r="J36" s="136">
        <f>SUM(J29:J35)</f>
        <v>1000</v>
      </c>
      <c r="K36" s="136">
        <f>SUM(K31:K35)</f>
        <v>1.5165999999999999</v>
      </c>
      <c r="L36" s="137">
        <f>SUM(L29:L35)</f>
        <v>277.74</v>
      </c>
      <c r="M36" s="182">
        <f>(G36-H36)</f>
        <v>0</v>
      </c>
      <c r="N36" s="138">
        <v>0</v>
      </c>
      <c r="O36" s="183">
        <f>SUM(O33:O34)</f>
        <v>0</v>
      </c>
      <c r="P36" s="184">
        <v>0</v>
      </c>
      <c r="Q36" s="185">
        <f>SUM(Q33:Q34)</f>
        <v>0</v>
      </c>
      <c r="R36" s="139">
        <f t="shared" si="1"/>
        <v>277.74</v>
      </c>
      <c r="S36" s="140"/>
      <c r="T36" s="141">
        <f>SUM(T29:T35)</f>
        <v>10223.664920000001</v>
      </c>
      <c r="U36" s="28">
        <f t="shared" si="17"/>
        <v>1</v>
      </c>
      <c r="V36" s="29"/>
    </row>
    <row r="37" spans="1:24" ht="16.5" thickTop="1" thickBot="1" x14ac:dyDescent="0.3">
      <c r="A37" s="231" t="s">
        <v>38</v>
      </c>
      <c r="B37" s="231"/>
      <c r="C37" s="232"/>
      <c r="D37" s="232"/>
      <c r="E37" s="232"/>
      <c r="F37" s="91"/>
      <c r="G37" s="75">
        <f>(G28+G36)</f>
        <v>107</v>
      </c>
      <c r="H37" s="75">
        <f>(H28+H36)</f>
        <v>107</v>
      </c>
      <c r="I37" s="170">
        <f>J37/H37</f>
        <v>11.785046728971963</v>
      </c>
      <c r="J37" s="92">
        <f>(J28+J36)</f>
        <v>1261</v>
      </c>
      <c r="K37" s="93">
        <f>L37/J37</f>
        <v>0.27889222839016653</v>
      </c>
      <c r="L37" s="94">
        <f>(L28+L36)</f>
        <v>351.68310000000002</v>
      </c>
      <c r="M37" s="95">
        <f>G37-H37</f>
        <v>0</v>
      </c>
      <c r="N37" s="116">
        <f>N30+N36</f>
        <v>0</v>
      </c>
      <c r="O37" s="116">
        <f>O30+O36</f>
        <v>0</v>
      </c>
      <c r="P37" s="96">
        <v>0</v>
      </c>
      <c r="Q37" s="97">
        <f>SUM(Q28+Q36)</f>
        <v>0</v>
      </c>
      <c r="R37" s="98">
        <f>SUM(L37+Q37)</f>
        <v>351.68310000000002</v>
      </c>
      <c r="S37" s="82"/>
      <c r="T37" s="99">
        <f>(T28+T36)</f>
        <v>13759.623962000001</v>
      </c>
      <c r="U37" s="28">
        <f t="shared" si="17"/>
        <v>1</v>
      </c>
      <c r="V37" s="29"/>
    </row>
    <row r="38" spans="1:24" ht="54" customHeight="1" thickTop="1" thickBot="1" x14ac:dyDescent="0.3">
      <c r="A38" s="166" t="s">
        <v>63</v>
      </c>
      <c r="B38" s="165" t="s">
        <v>65</v>
      </c>
      <c r="C38" s="202" t="s">
        <v>121</v>
      </c>
      <c r="D38" s="202"/>
      <c r="E38" s="202"/>
      <c r="F38" s="142" t="s">
        <v>58</v>
      </c>
      <c r="G38" s="150">
        <f>1331-J35</f>
        <v>851</v>
      </c>
      <c r="H38" s="151">
        <f>G38</f>
        <v>851</v>
      </c>
      <c r="I38" s="143">
        <v>1</v>
      </c>
      <c r="J38" s="152">
        <f t="shared" ref="J38" si="24">+H38*I38</f>
        <v>851</v>
      </c>
      <c r="K38" s="148">
        <v>0.16667000000000001</v>
      </c>
      <c r="L38" s="144">
        <f t="shared" ref="L38" si="25">+J38*K38</f>
        <v>141.83617000000001</v>
      </c>
      <c r="M38" s="145">
        <f>G38-H38</f>
        <v>0</v>
      </c>
      <c r="N38" s="146">
        <v>0</v>
      </c>
      <c r="O38" s="146">
        <f>(M38*N38)</f>
        <v>0</v>
      </c>
      <c r="P38" s="149">
        <v>0</v>
      </c>
      <c r="Q38" s="55">
        <f t="shared" ref="Q38" si="26">+O38*P38</f>
        <v>0</v>
      </c>
      <c r="R38" s="147">
        <f t="shared" ref="R38" si="27">(L38+Q38)</f>
        <v>141.83617000000001</v>
      </c>
      <c r="S38" s="164">
        <v>32.159999999999997</v>
      </c>
      <c r="T38" s="164">
        <f t="shared" ref="T38" si="28">(R38*S38)</f>
        <v>4561.4512272000002</v>
      </c>
      <c r="U38" s="28"/>
      <c r="V38" s="29"/>
    </row>
    <row r="39" spans="1:24" ht="15.75" thickBot="1" x14ac:dyDescent="0.3">
      <c r="A39" s="237" t="s">
        <v>64</v>
      </c>
      <c r="B39" s="238"/>
      <c r="C39" s="238"/>
      <c r="D39" s="238"/>
      <c r="E39" s="239"/>
      <c r="F39" s="153"/>
      <c r="G39" s="154">
        <f>SUM(G38:G38)</f>
        <v>851</v>
      </c>
      <c r="H39" s="155">
        <f>H38</f>
        <v>851</v>
      </c>
      <c r="I39" s="156">
        <f>J39/H39</f>
        <v>1</v>
      </c>
      <c r="J39" s="157">
        <f>(J38)</f>
        <v>851</v>
      </c>
      <c r="K39" s="158">
        <f>L39/J39</f>
        <v>0.16667000000000001</v>
      </c>
      <c r="L39" s="159">
        <f>(L38)</f>
        <v>141.83617000000001</v>
      </c>
      <c r="M39" s="160">
        <f>SUM(M38:M38)</f>
        <v>0</v>
      </c>
      <c r="N39" s="160">
        <f>SUM(N38:N38)</f>
        <v>0</v>
      </c>
      <c r="O39" s="156">
        <v>0</v>
      </c>
      <c r="P39" s="156">
        <f>P38</f>
        <v>0</v>
      </c>
      <c r="Q39" s="167">
        <v>0</v>
      </c>
      <c r="R39" s="161">
        <f>R38</f>
        <v>141.83617000000001</v>
      </c>
      <c r="S39" s="162"/>
      <c r="T39" s="163">
        <f>(T38)</f>
        <v>4561.4512272000002</v>
      </c>
      <c r="U39" s="28"/>
      <c r="V39" s="29"/>
    </row>
    <row r="40" spans="1:24" ht="24" customHeight="1" thickTop="1" thickBot="1" x14ac:dyDescent="0.3">
      <c r="A40" s="233" t="s">
        <v>39</v>
      </c>
      <c r="B40" s="233"/>
      <c r="C40" s="233"/>
      <c r="D40" s="233"/>
      <c r="E40" s="233"/>
      <c r="F40" s="124"/>
      <c r="G40" s="125">
        <f>SUM(G21,G37,G39)</f>
        <v>5004</v>
      </c>
      <c r="H40" s="125">
        <f>SUM(H21,H37,H39)</f>
        <v>3927</v>
      </c>
      <c r="I40" s="130">
        <f>J40/H40</f>
        <v>7.4155844155844157</v>
      </c>
      <c r="J40" s="190">
        <f>(J21+J37+J39)</f>
        <v>29121</v>
      </c>
      <c r="K40" s="191">
        <f>L40/J40</f>
        <v>0.14849532536657395</v>
      </c>
      <c r="L40" s="126">
        <f>(L21+L37+L39)</f>
        <v>4324.3323700000001</v>
      </c>
      <c r="M40" s="125">
        <f>SUM(M21,M37,M39)</f>
        <v>1077</v>
      </c>
      <c r="N40" s="130">
        <f>O40/M40</f>
        <v>4.1993738854506946</v>
      </c>
      <c r="O40" s="127">
        <f>(O21+O37+O39)</f>
        <v>4522.7256746303983</v>
      </c>
      <c r="P40" s="191">
        <f>Q40/O40</f>
        <v>2.0000000000000004E-2</v>
      </c>
      <c r="Q40" s="128">
        <f>SUM(Q21+Q37+Q39)</f>
        <v>90.454513492607987</v>
      </c>
      <c r="R40" s="129">
        <f>SUM(L40+Q40)</f>
        <v>4414.7868834926085</v>
      </c>
      <c r="S40" s="118"/>
      <c r="T40" s="99">
        <f>(T21+T37+T39)</f>
        <v>46750.265387021413</v>
      </c>
      <c r="U40" s="119"/>
      <c r="V40" s="29"/>
    </row>
    <row r="41" spans="1:24" s="121" customFormat="1" ht="15.75" thickTop="1" x14ac:dyDescent="0.25">
      <c r="A41" s="228" t="s">
        <v>67</v>
      </c>
      <c r="B41" s="228"/>
      <c r="C41" s="228"/>
      <c r="D41" s="228"/>
      <c r="E41" s="228"/>
      <c r="F41" s="228"/>
      <c r="G41" s="228"/>
      <c r="H41" s="228"/>
      <c r="I41" s="228"/>
      <c r="J41" s="228"/>
      <c r="K41" s="228"/>
      <c r="L41" s="228"/>
      <c r="M41" s="228"/>
      <c r="N41" s="228"/>
      <c r="O41" s="228"/>
      <c r="P41" s="228"/>
      <c r="Q41" s="228"/>
      <c r="R41" s="228"/>
      <c r="S41" s="228"/>
      <c r="T41" s="228"/>
      <c r="U41" s="120"/>
    </row>
    <row r="42" spans="1:24" s="121" customFormat="1" x14ac:dyDescent="0.25">
      <c r="A42" s="229" t="s">
        <v>74</v>
      </c>
      <c r="B42" s="229"/>
      <c r="C42" s="229"/>
      <c r="D42" s="229"/>
      <c r="E42" s="229"/>
      <c r="F42" s="229"/>
      <c r="G42" s="229"/>
      <c r="H42" s="229"/>
      <c r="I42" s="229"/>
      <c r="J42" s="229"/>
      <c r="K42" s="229"/>
      <c r="L42" s="229"/>
      <c r="M42" s="229"/>
      <c r="N42" s="229"/>
      <c r="O42" s="229"/>
      <c r="P42" s="229"/>
      <c r="Q42" s="229"/>
      <c r="R42" s="229"/>
      <c r="S42" s="229"/>
      <c r="T42" s="229"/>
      <c r="U42" s="120"/>
    </row>
    <row r="43" spans="1:24" s="121" customFormat="1" x14ac:dyDescent="0.25">
      <c r="A43" s="197" t="s">
        <v>75</v>
      </c>
      <c r="B43" s="197"/>
      <c r="C43" s="197"/>
      <c r="D43" s="197"/>
      <c r="E43" s="197"/>
      <c r="F43" s="197"/>
      <c r="G43" s="197"/>
      <c r="H43" s="197"/>
      <c r="I43" s="197"/>
      <c r="J43" s="197"/>
      <c r="K43" s="197"/>
      <c r="L43" s="197"/>
      <c r="M43" s="197"/>
      <c r="N43" s="197"/>
      <c r="O43" s="197"/>
      <c r="P43" s="197"/>
      <c r="Q43" s="197"/>
      <c r="R43" s="197"/>
      <c r="S43" s="197"/>
      <c r="T43" s="197"/>
      <c r="U43" s="120"/>
    </row>
    <row r="44" spans="1:24" s="121" customFormat="1" x14ac:dyDescent="0.25">
      <c r="A44" s="197" t="s">
        <v>126</v>
      </c>
      <c r="B44" s="197"/>
      <c r="C44" s="197"/>
      <c r="D44" s="197"/>
      <c r="E44" s="197"/>
      <c r="F44" s="197"/>
      <c r="G44" s="197"/>
      <c r="H44" s="197"/>
      <c r="I44" s="197"/>
      <c r="J44" s="197"/>
      <c r="K44" s="197"/>
      <c r="L44" s="197"/>
      <c r="M44" s="197"/>
      <c r="N44" s="197"/>
      <c r="O44" s="197"/>
      <c r="P44" s="197"/>
      <c r="Q44" s="197"/>
      <c r="R44" s="197"/>
      <c r="S44" s="197"/>
      <c r="T44" s="197"/>
      <c r="U44" s="120"/>
    </row>
    <row r="45" spans="1:24" s="121" customFormat="1" x14ac:dyDescent="0.25">
      <c r="A45" s="197" t="s">
        <v>76</v>
      </c>
      <c r="B45" s="197"/>
      <c r="C45" s="197"/>
      <c r="D45" s="197"/>
      <c r="E45" s="197"/>
      <c r="F45" s="197"/>
      <c r="G45" s="197"/>
      <c r="H45" s="197"/>
      <c r="I45" s="197"/>
      <c r="J45" s="197"/>
      <c r="K45" s="197"/>
      <c r="L45" s="197"/>
      <c r="M45" s="197"/>
      <c r="N45" s="197"/>
      <c r="O45" s="197"/>
      <c r="P45" s="197"/>
      <c r="Q45" s="197"/>
      <c r="R45" s="197"/>
      <c r="S45" s="197"/>
      <c r="T45" s="197"/>
      <c r="U45" s="120"/>
    </row>
    <row r="46" spans="1:24" s="121" customFormat="1" x14ac:dyDescent="0.25">
      <c r="A46" s="197" t="s">
        <v>127</v>
      </c>
      <c r="B46" s="197"/>
      <c r="C46" s="197"/>
      <c r="D46" s="197"/>
      <c r="E46" s="197"/>
      <c r="F46" s="197"/>
      <c r="G46" s="197"/>
      <c r="H46" s="197"/>
      <c r="I46" s="197"/>
      <c r="J46" s="197"/>
      <c r="K46" s="197"/>
      <c r="L46" s="197"/>
      <c r="M46" s="197"/>
      <c r="N46" s="197"/>
      <c r="O46" s="197"/>
      <c r="P46" s="197"/>
      <c r="Q46" s="197"/>
      <c r="R46" s="197"/>
      <c r="S46" s="197"/>
      <c r="T46" s="197"/>
      <c r="U46" s="168"/>
    </row>
    <row r="47" spans="1:24" s="121" customFormat="1" x14ac:dyDescent="0.25">
      <c r="A47" s="197" t="s">
        <v>128</v>
      </c>
      <c r="B47" s="197"/>
      <c r="C47" s="197"/>
      <c r="D47" s="197"/>
      <c r="E47" s="197"/>
      <c r="F47" s="197"/>
      <c r="G47" s="197"/>
      <c r="H47" s="197"/>
      <c r="I47" s="197"/>
      <c r="J47" s="197"/>
      <c r="K47" s="197"/>
      <c r="L47" s="197"/>
      <c r="M47" s="197"/>
      <c r="N47" s="197"/>
      <c r="O47" s="197"/>
      <c r="P47" s="197"/>
      <c r="Q47" s="197"/>
      <c r="R47" s="197"/>
      <c r="S47" s="197"/>
      <c r="T47" s="197"/>
      <c r="U47" s="168"/>
    </row>
    <row r="48" spans="1:24" s="121" customFormat="1" x14ac:dyDescent="0.25">
      <c r="A48" s="197" t="s">
        <v>129</v>
      </c>
      <c r="B48" s="197"/>
      <c r="C48" s="197"/>
      <c r="D48" s="197"/>
      <c r="E48" s="197"/>
      <c r="F48" s="197"/>
      <c r="G48" s="197"/>
      <c r="H48" s="197"/>
      <c r="I48" s="197"/>
      <c r="J48" s="197"/>
      <c r="K48" s="197"/>
      <c r="L48" s="197"/>
      <c r="M48" s="197"/>
      <c r="N48" s="197"/>
      <c r="O48" s="197"/>
      <c r="P48" s="197"/>
      <c r="Q48" s="197"/>
      <c r="R48" s="197"/>
      <c r="S48" s="197"/>
      <c r="T48" s="197"/>
      <c r="U48" s="168"/>
    </row>
    <row r="49" spans="1:26" s="121" customFormat="1" x14ac:dyDescent="0.25">
      <c r="A49" s="197" t="s">
        <v>130</v>
      </c>
      <c r="B49" s="197"/>
      <c r="C49" s="197"/>
      <c r="D49" s="197"/>
      <c r="E49" s="197"/>
      <c r="F49" s="197"/>
      <c r="G49" s="197"/>
      <c r="H49" s="197"/>
      <c r="I49" s="197"/>
      <c r="J49" s="197"/>
      <c r="K49" s="197"/>
      <c r="L49" s="197"/>
      <c r="M49" s="197"/>
      <c r="N49" s="197"/>
      <c r="O49" s="197"/>
      <c r="P49" s="197"/>
      <c r="Q49" s="197"/>
      <c r="R49" s="197"/>
      <c r="S49" s="197"/>
      <c r="T49" s="197"/>
      <c r="U49" s="168"/>
    </row>
    <row r="50" spans="1:26" s="121" customFormat="1" x14ac:dyDescent="0.25">
      <c r="A50" s="197" t="s">
        <v>131</v>
      </c>
      <c r="B50" s="197"/>
      <c r="C50" s="197"/>
      <c r="D50" s="197"/>
      <c r="E50" s="197"/>
      <c r="F50" s="197"/>
      <c r="G50" s="197"/>
      <c r="H50" s="197"/>
      <c r="I50" s="197"/>
      <c r="J50" s="197"/>
      <c r="K50" s="197"/>
      <c r="L50" s="197"/>
      <c r="M50" s="197"/>
      <c r="N50" s="197"/>
      <c r="O50" s="197"/>
      <c r="P50" s="197"/>
      <c r="Q50" s="197"/>
      <c r="R50" s="197"/>
      <c r="S50" s="197"/>
      <c r="T50" s="197"/>
      <c r="U50" s="168"/>
    </row>
    <row r="51" spans="1:26" ht="27.75" customHeight="1" x14ac:dyDescent="0.25">
      <c r="A51" s="197" t="s">
        <v>132</v>
      </c>
      <c r="B51" s="197"/>
      <c r="C51" s="197"/>
      <c r="D51" s="197"/>
      <c r="E51" s="197"/>
      <c r="F51" s="197"/>
      <c r="G51" s="197"/>
      <c r="H51" s="197"/>
      <c r="I51" s="197"/>
      <c r="J51" s="197"/>
      <c r="K51" s="197"/>
      <c r="L51" s="197"/>
      <c r="M51" s="197"/>
      <c r="N51" s="197"/>
      <c r="O51" s="197"/>
      <c r="P51" s="197"/>
      <c r="Q51" s="197"/>
      <c r="R51" s="197"/>
      <c r="S51" s="197"/>
      <c r="T51" s="197"/>
    </row>
    <row r="52" spans="1:26" x14ac:dyDescent="0.25">
      <c r="A52" s="197" t="s">
        <v>94</v>
      </c>
      <c r="B52" s="197"/>
      <c r="C52" s="197"/>
      <c r="D52" s="197"/>
      <c r="E52" s="197"/>
      <c r="F52" s="197"/>
      <c r="G52" s="197"/>
      <c r="H52" s="197"/>
      <c r="I52" s="197"/>
      <c r="J52" s="197"/>
      <c r="K52" s="197"/>
      <c r="L52" s="197"/>
      <c r="M52" s="197"/>
      <c r="N52" s="197"/>
      <c r="O52" s="197"/>
      <c r="P52" s="197"/>
      <c r="Q52" s="197"/>
      <c r="R52" s="197"/>
      <c r="S52" s="197"/>
      <c r="T52" s="197"/>
    </row>
    <row r="53" spans="1:26" x14ac:dyDescent="0.25">
      <c r="A53" s="197" t="s">
        <v>125</v>
      </c>
      <c r="B53" s="197"/>
      <c r="C53" s="197"/>
      <c r="D53" s="197"/>
      <c r="E53" s="197"/>
      <c r="F53" s="197"/>
      <c r="G53" s="197"/>
      <c r="H53" s="197"/>
      <c r="I53" s="197"/>
      <c r="J53" s="197"/>
      <c r="K53" s="197"/>
      <c r="L53" s="197"/>
      <c r="M53" s="197"/>
      <c r="N53" s="197"/>
      <c r="O53" s="197"/>
      <c r="P53" s="197"/>
      <c r="Q53" s="197"/>
      <c r="R53" s="197"/>
      <c r="S53" s="197"/>
      <c r="T53" s="197"/>
    </row>
    <row r="54" spans="1:26" x14ac:dyDescent="0.25">
      <c r="A54" s="197" t="s">
        <v>124</v>
      </c>
      <c r="B54" s="197"/>
      <c r="C54" s="197"/>
      <c r="D54" s="197"/>
      <c r="E54" s="197"/>
      <c r="F54" s="197"/>
      <c r="G54" s="197"/>
      <c r="H54" s="197"/>
      <c r="I54" s="197"/>
      <c r="J54" s="197"/>
      <c r="K54" s="197"/>
      <c r="L54" s="197"/>
      <c r="M54" s="197"/>
      <c r="N54" s="197"/>
      <c r="O54" s="197"/>
      <c r="P54" s="197"/>
      <c r="Q54" s="197"/>
      <c r="R54" s="197"/>
      <c r="S54" s="197"/>
      <c r="T54" s="197"/>
    </row>
    <row r="55" spans="1:26" x14ac:dyDescent="0.25">
      <c r="A55" s="197" t="s">
        <v>95</v>
      </c>
      <c r="B55" s="197"/>
      <c r="C55" s="197"/>
      <c r="D55" s="197"/>
      <c r="E55" s="197"/>
      <c r="F55" s="197"/>
      <c r="G55" s="197"/>
      <c r="H55" s="197"/>
      <c r="I55" s="197"/>
      <c r="J55" s="197"/>
      <c r="K55" s="197"/>
      <c r="L55" s="197"/>
      <c r="M55" s="197"/>
      <c r="N55" s="197"/>
      <c r="O55" s="197"/>
      <c r="P55" s="197"/>
      <c r="Q55" s="197"/>
      <c r="R55" s="197"/>
      <c r="S55" s="197"/>
      <c r="T55" s="197"/>
    </row>
    <row r="56" spans="1:26" x14ac:dyDescent="0.25">
      <c r="A56" s="197" t="s">
        <v>96</v>
      </c>
      <c r="B56" s="197"/>
      <c r="C56" s="197"/>
      <c r="D56" s="197"/>
      <c r="E56" s="197"/>
      <c r="F56" s="197"/>
      <c r="G56" s="197"/>
      <c r="H56" s="197"/>
      <c r="I56" s="197"/>
      <c r="J56" s="197"/>
      <c r="K56" s="197"/>
      <c r="L56" s="197"/>
      <c r="M56" s="197"/>
      <c r="N56" s="197"/>
      <c r="O56" s="197"/>
      <c r="P56" s="197"/>
      <c r="Q56" s="197"/>
      <c r="R56" s="197"/>
      <c r="S56" s="197"/>
      <c r="T56" s="197"/>
    </row>
    <row r="57" spans="1:26" ht="26.25" customHeight="1" x14ac:dyDescent="0.25">
      <c r="A57" s="230" t="s">
        <v>106</v>
      </c>
      <c r="B57" s="230"/>
      <c r="C57" s="230"/>
      <c r="D57" s="230"/>
      <c r="E57" s="230"/>
      <c r="F57" s="230"/>
      <c r="G57" s="230"/>
      <c r="H57" s="230"/>
      <c r="I57" s="230"/>
      <c r="J57" s="230"/>
      <c r="K57" s="230"/>
      <c r="L57" s="230"/>
      <c r="M57" s="230"/>
      <c r="N57" s="230"/>
      <c r="O57" s="230"/>
      <c r="P57" s="230"/>
      <c r="Q57" s="230"/>
      <c r="R57" s="230"/>
      <c r="S57" s="230"/>
      <c r="T57" s="230"/>
    </row>
    <row r="58" spans="1:26" x14ac:dyDescent="0.25">
      <c r="A58" s="197" t="s">
        <v>110</v>
      </c>
      <c r="B58" s="197"/>
      <c r="C58" s="197"/>
      <c r="D58" s="197"/>
      <c r="E58" s="197"/>
      <c r="F58" s="197"/>
      <c r="G58" s="197"/>
      <c r="H58" s="197"/>
      <c r="I58" s="197"/>
      <c r="J58" s="197"/>
      <c r="K58" s="197"/>
      <c r="L58" s="197"/>
      <c r="M58" s="197"/>
      <c r="N58" s="197"/>
      <c r="O58" s="197"/>
      <c r="P58" s="197"/>
      <c r="Q58" s="197"/>
      <c r="R58" s="197"/>
      <c r="S58" s="197"/>
      <c r="T58" s="197"/>
    </row>
    <row r="59" spans="1:26" x14ac:dyDescent="0.25">
      <c r="A59" s="197" t="s">
        <v>111</v>
      </c>
      <c r="B59" s="197"/>
      <c r="C59" s="197"/>
      <c r="D59" s="197"/>
      <c r="E59" s="197"/>
      <c r="F59" s="197"/>
      <c r="G59" s="197"/>
      <c r="H59" s="197"/>
      <c r="I59" s="197"/>
      <c r="J59" s="197"/>
      <c r="K59" s="197"/>
      <c r="L59" s="197"/>
      <c r="M59" s="197"/>
      <c r="N59" s="197"/>
      <c r="O59" s="197"/>
      <c r="P59" s="197"/>
      <c r="Q59" s="197"/>
      <c r="R59" s="197"/>
      <c r="S59" s="197"/>
      <c r="T59" s="197"/>
    </row>
    <row r="60" spans="1:26" x14ac:dyDescent="0.25">
      <c r="A60" s="197" t="s">
        <v>97</v>
      </c>
      <c r="B60" s="197"/>
      <c r="C60" s="197"/>
      <c r="D60" s="197"/>
      <c r="E60" s="197"/>
      <c r="F60" s="197"/>
      <c r="G60" s="197"/>
      <c r="H60" s="197"/>
      <c r="I60" s="197"/>
      <c r="J60" s="197"/>
      <c r="K60" s="197"/>
      <c r="L60" s="197"/>
      <c r="M60" s="197"/>
      <c r="N60" s="197"/>
      <c r="O60" s="197"/>
      <c r="P60" s="197"/>
      <c r="Q60" s="197"/>
      <c r="R60" s="197"/>
      <c r="S60" s="197"/>
      <c r="T60" s="197"/>
    </row>
    <row r="61" spans="1:26" x14ac:dyDescent="0.25">
      <c r="A61" s="197" t="s">
        <v>117</v>
      </c>
      <c r="B61" s="197"/>
      <c r="C61" s="197"/>
      <c r="D61" s="197"/>
      <c r="E61" s="197"/>
      <c r="F61" s="197"/>
      <c r="G61" s="197"/>
      <c r="H61" s="197"/>
      <c r="I61" s="197"/>
      <c r="J61" s="197"/>
      <c r="K61" s="197"/>
      <c r="L61" s="197"/>
      <c r="M61" s="197"/>
      <c r="N61" s="197"/>
      <c r="O61" s="197"/>
      <c r="P61" s="197"/>
      <c r="Q61" s="197"/>
      <c r="R61" s="197"/>
      <c r="S61" s="197"/>
      <c r="T61" s="197"/>
      <c r="Z61" s="31"/>
    </row>
    <row r="62" spans="1:26" ht="21.75" customHeight="1" x14ac:dyDescent="0.25">
      <c r="A62" s="197" t="s">
        <v>118</v>
      </c>
      <c r="B62" s="240"/>
      <c r="C62" s="240"/>
      <c r="D62" s="240"/>
      <c r="E62" s="240"/>
      <c r="F62" s="240"/>
      <c r="G62" s="240"/>
      <c r="H62" s="240"/>
      <c r="I62" s="240"/>
      <c r="J62" s="241"/>
      <c r="K62" s="241"/>
      <c r="L62" s="241"/>
      <c r="M62" s="241"/>
      <c r="N62" s="241"/>
      <c r="O62" s="241"/>
      <c r="P62" s="241"/>
      <c r="Q62" s="241"/>
      <c r="R62" s="241"/>
      <c r="S62" s="241"/>
      <c r="T62" s="241"/>
      <c r="U62" s="241"/>
      <c r="V62" s="241"/>
      <c r="W62" s="241"/>
      <c r="Z62" s="31"/>
    </row>
    <row r="63" spans="1:26" s="241" customFormat="1" ht="21.75" customHeight="1" x14ac:dyDescent="0.25">
      <c r="A63" s="197" t="s">
        <v>119</v>
      </c>
    </row>
    <row r="64" spans="1:26" x14ac:dyDescent="0.25">
      <c r="A64" s="197" t="s">
        <v>122</v>
      </c>
      <c r="B64" s="197"/>
      <c r="C64" s="197"/>
      <c r="D64" s="197"/>
      <c r="E64" s="197"/>
      <c r="F64" s="197"/>
      <c r="G64" s="197"/>
      <c r="H64" s="197"/>
      <c r="I64" s="197"/>
      <c r="J64" s="197"/>
      <c r="K64" s="197"/>
      <c r="L64" s="197"/>
      <c r="M64" s="197"/>
      <c r="N64" s="197"/>
      <c r="O64" s="197"/>
      <c r="P64" s="197"/>
      <c r="Q64" s="197"/>
      <c r="R64" s="197"/>
      <c r="S64" s="197"/>
      <c r="T64" s="197"/>
      <c r="Z64" s="31"/>
    </row>
    <row r="65" spans="1:26" ht="24.75" customHeight="1" x14ac:dyDescent="0.25">
      <c r="A65" s="197" t="s">
        <v>123</v>
      </c>
      <c r="B65" s="197"/>
      <c r="C65" s="197"/>
      <c r="D65" s="197"/>
      <c r="E65" s="197"/>
      <c r="F65" s="197"/>
      <c r="G65" s="197"/>
      <c r="H65" s="197"/>
      <c r="I65" s="197"/>
      <c r="J65" s="197"/>
      <c r="K65" s="197"/>
      <c r="L65" s="197"/>
      <c r="M65" s="197"/>
      <c r="N65" s="197"/>
      <c r="O65" s="197"/>
      <c r="P65" s="197"/>
      <c r="Q65" s="197"/>
      <c r="R65" s="197"/>
      <c r="S65" s="197"/>
      <c r="T65" s="197"/>
      <c r="Z65" s="31"/>
    </row>
    <row r="70" spans="1:26" ht="38.25" customHeight="1" x14ac:dyDescent="0.25">
      <c r="A70" s="196"/>
      <c r="B70" s="196"/>
      <c r="C70" s="196"/>
      <c r="D70" s="196"/>
      <c r="E70" s="196"/>
      <c r="F70" s="196"/>
      <c r="G70" s="196"/>
      <c r="H70" s="196"/>
      <c r="I70" s="196"/>
      <c r="J70" s="196"/>
      <c r="K70" s="196"/>
      <c r="L70" s="196"/>
      <c r="M70" s="196"/>
      <c r="N70" s="196"/>
      <c r="O70" s="196"/>
      <c r="P70" s="196"/>
      <c r="Q70" s="196"/>
      <c r="R70" s="196"/>
      <c r="S70" s="196"/>
      <c r="T70" s="196"/>
      <c r="U70" s="196"/>
      <c r="V70" s="196"/>
    </row>
    <row r="74" spans="1:26" ht="50.25" customHeight="1" x14ac:dyDescent="0.25">
      <c r="A74" s="196"/>
      <c r="B74" s="196"/>
      <c r="C74" s="196"/>
      <c r="D74" s="196"/>
      <c r="E74" s="196"/>
      <c r="F74" s="196"/>
      <c r="G74" s="196"/>
      <c r="H74" s="196"/>
      <c r="I74" s="196"/>
      <c r="J74" s="196"/>
      <c r="K74" s="196"/>
      <c r="L74" s="196"/>
      <c r="M74" s="196"/>
      <c r="N74" s="196"/>
      <c r="O74" s="196"/>
      <c r="P74" s="196"/>
      <c r="Q74" s="196"/>
      <c r="R74" s="196"/>
      <c r="S74" s="196"/>
      <c r="T74" s="196"/>
      <c r="U74" s="196"/>
      <c r="V74" s="196"/>
    </row>
    <row r="76" spans="1:26" ht="50.25" customHeight="1" x14ac:dyDescent="0.25">
      <c r="A76" s="196"/>
      <c r="B76" s="196"/>
      <c r="C76" s="196"/>
      <c r="D76" s="196"/>
      <c r="E76" s="196"/>
      <c r="F76" s="196"/>
      <c r="G76" s="196"/>
      <c r="H76" s="196"/>
      <c r="I76" s="196"/>
      <c r="J76" s="196"/>
      <c r="K76" s="196"/>
      <c r="L76" s="196"/>
      <c r="M76" s="196"/>
      <c r="N76" s="196"/>
      <c r="O76" s="196"/>
      <c r="P76" s="196"/>
      <c r="Q76" s="196"/>
      <c r="R76" s="196"/>
      <c r="S76" s="196"/>
      <c r="T76" s="196"/>
      <c r="U76" s="196"/>
      <c r="V76" s="196"/>
    </row>
    <row r="77" spans="1:26" ht="18.75" customHeight="1" x14ac:dyDescent="0.25">
      <c r="A77" s="196"/>
      <c r="B77" s="196"/>
      <c r="C77" s="196"/>
      <c r="D77" s="196"/>
      <c r="E77" s="196"/>
      <c r="F77" s="196"/>
      <c r="G77" s="196"/>
      <c r="H77" s="196"/>
      <c r="I77" s="196"/>
      <c r="J77" s="196"/>
      <c r="K77" s="196"/>
      <c r="L77" s="196"/>
      <c r="M77" s="196"/>
      <c r="N77" s="196"/>
      <c r="O77" s="196"/>
      <c r="P77" s="196"/>
      <c r="Q77" s="196"/>
      <c r="R77" s="196"/>
      <c r="S77" s="196"/>
      <c r="T77" s="196"/>
      <c r="U77" s="196"/>
      <c r="V77" s="196"/>
    </row>
  </sheetData>
  <mergeCells count="75">
    <mergeCell ref="A49:T49"/>
    <mergeCell ref="C25:E25"/>
    <mergeCell ref="C32:E32"/>
    <mergeCell ref="C27:E27"/>
    <mergeCell ref="C35:E35"/>
    <mergeCell ref="A48:T48"/>
    <mergeCell ref="C10:E10"/>
    <mergeCell ref="C11:E11"/>
    <mergeCell ref="C12:E12"/>
    <mergeCell ref="C16:E16"/>
    <mergeCell ref="C13:E13"/>
    <mergeCell ref="A53:T53"/>
    <mergeCell ref="A70:V70"/>
    <mergeCell ref="A37:E37"/>
    <mergeCell ref="C31:E31"/>
    <mergeCell ref="C30:E30"/>
    <mergeCell ref="A55:T55"/>
    <mergeCell ref="A40:E40"/>
    <mergeCell ref="C36:E36"/>
    <mergeCell ref="C34:E34"/>
    <mergeCell ref="C38:E38"/>
    <mergeCell ref="A39:E39"/>
    <mergeCell ref="A50:T50"/>
    <mergeCell ref="A62:W62"/>
    <mergeCell ref="A63:XFD63"/>
    <mergeCell ref="A46:T46"/>
    <mergeCell ref="A47:T47"/>
    <mergeCell ref="C9:E9"/>
    <mergeCell ref="A74:V74"/>
    <mergeCell ref="A41:T41"/>
    <mergeCell ref="A42:T42"/>
    <mergeCell ref="A56:T56"/>
    <mergeCell ref="A58:T58"/>
    <mergeCell ref="A59:T59"/>
    <mergeCell ref="A51:T51"/>
    <mergeCell ref="A43:T43"/>
    <mergeCell ref="A44:T44"/>
    <mergeCell ref="A45:T45"/>
    <mergeCell ref="A60:T60"/>
    <mergeCell ref="A61:T61"/>
    <mergeCell ref="A57:T57"/>
    <mergeCell ref="A52:T52"/>
    <mergeCell ref="A54:T54"/>
    <mergeCell ref="C6:E6"/>
    <mergeCell ref="C8:E8"/>
    <mergeCell ref="C7:E7"/>
    <mergeCell ref="C15:E15"/>
    <mergeCell ref="C29:E29"/>
    <mergeCell ref="C22:E22"/>
    <mergeCell ref="C24:E24"/>
    <mergeCell ref="C23:E23"/>
    <mergeCell ref="C28:E28"/>
    <mergeCell ref="C26:E26"/>
    <mergeCell ref="A21:E21"/>
    <mergeCell ref="A22:A28"/>
    <mergeCell ref="A29:A36"/>
    <mergeCell ref="B22:B28"/>
    <mergeCell ref="B29:B36"/>
    <mergeCell ref="C33:E33"/>
    <mergeCell ref="A2:T2"/>
    <mergeCell ref="A1:T1"/>
    <mergeCell ref="A76:V76"/>
    <mergeCell ref="A77:V77"/>
    <mergeCell ref="A65:T65"/>
    <mergeCell ref="A64:T64"/>
    <mergeCell ref="C3:E3"/>
    <mergeCell ref="B4:B20"/>
    <mergeCell ref="C18:E18"/>
    <mergeCell ref="C20:E20"/>
    <mergeCell ref="C19:E19"/>
    <mergeCell ref="C17:E17"/>
    <mergeCell ref="C14:E14"/>
    <mergeCell ref="A4:A20"/>
    <mergeCell ref="C4:E4"/>
    <mergeCell ref="C5:E5"/>
  </mergeCells>
  <pageMargins left="0.25" right="0.25" top="0.75" bottom="0.75" header="0.3" footer="0.3"/>
  <pageSetup scale="7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
  <sheetViews>
    <sheetView showGridLines="0" workbookViewId="0">
      <selection activeCell="J21" sqref="I21:J21"/>
    </sheetView>
  </sheetViews>
  <sheetFormatPr defaultRowHeight="15" x14ac:dyDescent="0.25"/>
  <cols>
    <col min="1" max="1" width="9.140625" style="25"/>
    <col min="2" max="2" width="9.140625" style="26"/>
    <col min="3" max="5" width="9.140625" style="25"/>
    <col min="6" max="6" width="9.140625" style="26"/>
    <col min="7" max="10" width="9.140625" style="25"/>
    <col min="11" max="11" width="9.140625" style="27"/>
    <col min="12" max="12" width="9.140625" style="25"/>
    <col min="13" max="13" width="9.140625" style="35"/>
    <col min="14" max="14" width="9.140625" style="25"/>
    <col min="15" max="15" width="9.140625" style="35"/>
    <col min="16" max="16" width="9.140625" style="27"/>
    <col min="17" max="20" width="9.140625" style="25"/>
  </cols>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C8" sqref="C8"/>
    </sheetView>
  </sheetViews>
  <sheetFormatPr defaultRowHeight="15" x14ac:dyDescent="0.25"/>
  <cols>
    <col min="1" max="1" width="54.7109375" customWidth="1"/>
    <col min="2" max="2" width="37.7109375" customWidth="1"/>
    <col min="3" max="3" width="11.5703125" customWidth="1"/>
    <col min="4" max="4" width="8.85546875" customWidth="1"/>
  </cols>
  <sheetData>
    <row r="1" spans="1:4" ht="16.5" thickBot="1" x14ac:dyDescent="0.3">
      <c r="A1" s="2" t="s">
        <v>8</v>
      </c>
    </row>
    <row r="2" spans="1:4" ht="15.75" thickBot="1" x14ac:dyDescent="0.3">
      <c r="A2" s="3" t="s">
        <v>9</v>
      </c>
      <c r="B2" s="4" t="s">
        <v>10</v>
      </c>
      <c r="C2" s="243" t="s">
        <v>1</v>
      </c>
      <c r="D2" s="244"/>
    </row>
    <row r="3" spans="1:4" ht="15.75" thickBot="1" x14ac:dyDescent="0.3">
      <c r="A3" s="5" t="s">
        <v>11</v>
      </c>
      <c r="B3" s="6" t="s">
        <v>12</v>
      </c>
      <c r="C3" s="7" t="e">
        <f>'Age 6 Extension Burden Table'!#REF!</f>
        <v>#REF!</v>
      </c>
      <c r="D3" s="8"/>
    </row>
    <row r="4" spans="1:4" ht="15.75" thickBot="1" x14ac:dyDescent="0.3">
      <c r="A4" s="9" t="s">
        <v>11</v>
      </c>
      <c r="B4" s="6" t="s">
        <v>13</v>
      </c>
      <c r="C4" s="14" t="e">
        <f>SUM('Age 6 Extension Burden Table'!#REF!+'Age 6 Extension Burden Table'!#REF!)</f>
        <v>#REF!</v>
      </c>
      <c r="D4" s="8"/>
    </row>
    <row r="5" spans="1:4" ht="15.75" thickBot="1" x14ac:dyDescent="0.3">
      <c r="A5" s="9" t="s">
        <v>14</v>
      </c>
      <c r="B5" s="6" t="s">
        <v>15</v>
      </c>
      <c r="C5" s="14" t="e">
        <f>'Age 6 Extension Burden Table'!#REF!</f>
        <v>#REF!</v>
      </c>
      <c r="D5" s="8"/>
    </row>
    <row r="6" spans="1:4" ht="15.75" thickBot="1" x14ac:dyDescent="0.3">
      <c r="A6" s="5" t="s">
        <v>16</v>
      </c>
      <c r="B6" s="6" t="s">
        <v>17</v>
      </c>
      <c r="C6" s="14" t="e">
        <f>'Age 6 Extension Burden Table'!#REF!</f>
        <v>#REF!</v>
      </c>
      <c r="D6" s="8"/>
    </row>
    <row r="7" spans="1:4" ht="30.75" thickBot="1" x14ac:dyDescent="0.3">
      <c r="A7" s="5" t="s">
        <v>18</v>
      </c>
      <c r="B7" s="6" t="s">
        <v>19</v>
      </c>
      <c r="C7" s="14" t="e">
        <f>'Age 6 Extension Burden Table'!#REF!</f>
        <v>#REF!</v>
      </c>
      <c r="D7" s="8"/>
    </row>
    <row r="8" spans="1:4" ht="15.75" thickBot="1" x14ac:dyDescent="0.3">
      <c r="A8" s="10" t="s">
        <v>20</v>
      </c>
      <c r="B8" s="11"/>
      <c r="C8" s="24">
        <v>2680</v>
      </c>
      <c r="D8" s="21">
        <f>C8/C17</f>
        <v>0.19869513641755635</v>
      </c>
    </row>
    <row r="9" spans="1:4" ht="15.75" thickBot="1" x14ac:dyDescent="0.3">
      <c r="A9" s="12" t="s">
        <v>21</v>
      </c>
      <c r="B9" s="13"/>
      <c r="C9" s="243" t="s">
        <v>1</v>
      </c>
      <c r="D9" s="244"/>
    </row>
    <row r="10" spans="1:4" ht="15.75" thickBot="1" x14ac:dyDescent="0.3">
      <c r="A10" s="5" t="s">
        <v>22</v>
      </c>
      <c r="B10" s="6" t="s">
        <v>23</v>
      </c>
      <c r="C10" s="23" t="e">
        <f>'Age 6 Extension Burden Table'!#REF!</f>
        <v>#REF!</v>
      </c>
      <c r="D10" s="8"/>
    </row>
    <row r="11" spans="1:4" ht="15.75" thickBot="1" x14ac:dyDescent="0.3">
      <c r="A11" s="5" t="s">
        <v>24</v>
      </c>
      <c r="B11" s="6" t="s">
        <v>25</v>
      </c>
      <c r="C11" s="23" t="e">
        <f>'Age 6 Extension Burden Table'!#REF!+'Age 6 Extension Burden Table'!#REF!</f>
        <v>#REF!</v>
      </c>
      <c r="D11" s="8"/>
    </row>
    <row r="12" spans="1:4" ht="15.75" thickBot="1" x14ac:dyDescent="0.3">
      <c r="A12" s="5" t="s">
        <v>26</v>
      </c>
      <c r="B12" s="6" t="s">
        <v>13</v>
      </c>
      <c r="C12" s="14" t="e">
        <f>'Age 6 Extension Burden Table'!#REF!</f>
        <v>#REF!</v>
      </c>
      <c r="D12" s="8"/>
    </row>
    <row r="13" spans="1:4" ht="15.75" thickBot="1" x14ac:dyDescent="0.3">
      <c r="A13" s="5" t="s">
        <v>27</v>
      </c>
      <c r="B13" s="6" t="s">
        <v>28</v>
      </c>
      <c r="C13" s="14" t="e">
        <f>'Age 6 Extension Burden Table'!#REF!</f>
        <v>#REF!</v>
      </c>
      <c r="D13" s="8"/>
    </row>
    <row r="14" spans="1:4" ht="15.75" thickBot="1" x14ac:dyDescent="0.3">
      <c r="A14" s="5" t="s">
        <v>29</v>
      </c>
      <c r="B14" s="6" t="s">
        <v>6</v>
      </c>
      <c r="C14" s="14" t="e">
        <f>'Age 6 Extension Burden Table'!#REF!</f>
        <v>#REF!</v>
      </c>
      <c r="D14" s="8"/>
    </row>
    <row r="15" spans="1:4" ht="15.75" thickBot="1" x14ac:dyDescent="0.3">
      <c r="A15" s="5" t="s">
        <v>30</v>
      </c>
      <c r="B15" s="6" t="s">
        <v>31</v>
      </c>
      <c r="C15" s="14" t="e">
        <f>SUM('Age 6 Extension Burden Table'!#REF!)</f>
        <v>#REF!</v>
      </c>
      <c r="D15" s="8"/>
    </row>
    <row r="16" spans="1:4" x14ac:dyDescent="0.25">
      <c r="A16" s="15" t="s">
        <v>32</v>
      </c>
      <c r="B16" s="16"/>
      <c r="C16" s="18">
        <v>10808</v>
      </c>
      <c r="D16" s="22">
        <f>C16/C17</f>
        <v>0.80130486358244368</v>
      </c>
    </row>
    <row r="17" spans="1:4" x14ac:dyDescent="0.25">
      <c r="A17" s="17" t="s">
        <v>33</v>
      </c>
      <c r="B17" s="1"/>
      <c r="C17" s="19">
        <f>SUM(C8+C16)</f>
        <v>13488</v>
      </c>
      <c r="D17" s="20"/>
    </row>
  </sheetData>
  <mergeCells count="2">
    <mergeCell ref="C2:D2"/>
    <mergeCell ref="C9:D9"/>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Age 6 Extension Burden Table</vt:lpstr>
      <vt:lpstr>Sheet1</vt:lpstr>
      <vt:lpstr>Sheet2</vt:lpstr>
      <vt:lpstr>'Age 6 Extension Burden Table'!Print_Area</vt:lpstr>
      <vt:lpstr>'Age 6 Extension Burden Table'!Print_Titles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lywilliams</dc:creator>
  <cp:lastModifiedBy>CS</cp:lastModifiedBy>
  <cp:lastPrinted>2018-10-09T15:57:31Z</cp:lastPrinted>
  <dcterms:created xsi:type="dcterms:W3CDTF">2012-11-27T19:01:45Z</dcterms:created>
  <dcterms:modified xsi:type="dcterms:W3CDTF">2018-10-11T14:06:44Z</dcterms:modified>
</cp:coreProperties>
</file>