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drawings/drawing6.xml" ContentType="application/vnd.openxmlformats-officedocument.drawing+xml"/>
  <Override PartName="/xl/ctrlProps/ctrlProp30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 codeName="{8C4F1C90-05EB-6A55-5F09-09C24B55AC0B}"/>
  <workbookPr codeName="ThisWorkbook"/>
  <bookViews>
    <workbookView xWindow="0" yWindow="0" windowWidth="20490" windowHeight="7755" firstSheet="1" activeTab="1"/>
  </bookViews>
  <sheets>
    <sheet name="REVISION_HISTORY" sheetId="25" state="hidden" r:id="rId1"/>
    <sheet name="WELCOME" sheetId="22" r:id="rId2"/>
    <sheet name="MULTIPLE_PLAN_MODE" sheetId="21" state="hidden" r:id="rId3"/>
    <sheet name="BENEFIT_DESIGN" sheetId="11" state="hidden" r:id="rId4"/>
    <sheet name="BENEFIT_DESIGN_ERRORS" sheetId="24" state="hidden" r:id="rId5"/>
    <sheet name="BENEFIT_PARAMETERS" sheetId="5" state="hidden" r:id="rId6"/>
    <sheet name="RESULTS_SUMMARY" sheetId="8" state="hidden" r:id="rId7"/>
    <sheet name="EXAMPLE_SUMMARY" sheetId="23" state="hidden" r:id="rId8"/>
    <sheet name="DIABETES_SUMMARY" sheetId="7" state="hidden" r:id="rId9"/>
    <sheet name="DIABETES_TIMELINE" sheetId="3" state="hidden" r:id="rId10"/>
    <sheet name="DIABETES_LINE_ITEM" sheetId="6" state="hidden" r:id="rId11"/>
    <sheet name="MATERNITY_SUMMARY" sheetId="12" state="hidden" r:id="rId12"/>
    <sheet name="MATERNITY_TIMELINE" sheetId="10" state="hidden" r:id="rId13"/>
    <sheet name="MATERNITY_LINE_ITEM" sheetId="9" state="hidden" r:id="rId14"/>
    <sheet name="FRACTURE_SUMMARY" sheetId="13" state="hidden" r:id="rId15"/>
    <sheet name="FRACTURE_TIMELINE" sheetId="14" state="hidden" r:id="rId16"/>
    <sheet name="FRACTURE_LINE_ITEM" sheetId="15" state="hidden" r:id="rId17"/>
    <sheet name="PLAN_INPUT_DATA" sheetId="20" state="hidden" r:id="rId18"/>
    <sheet name="PLAN_OUTPUT_DATA" sheetId="17" state="hidden" r:id="rId19"/>
    <sheet name="TimelineDocumentation" sheetId="18" state="hidden" r:id="rId20"/>
  </sheets>
  <functionGroups builtInGroupCount="17"/>
  <definedNames>
    <definedName name="_xlnm._FilterDatabase" localSheetId="10" hidden="1">DIABETES_LINE_ITEM!$G$1:$G$31</definedName>
    <definedName name="_xlnm._FilterDatabase" localSheetId="9" hidden="1">DIABETES_TIMELINE!$A$2:$AP$153</definedName>
    <definedName name="_xlnm._FilterDatabase" localSheetId="16" hidden="1">FRACTURE_LINE_ITEM!$A$1:$I$15</definedName>
    <definedName name="_xlnm._FilterDatabase" localSheetId="13" hidden="1">MATERNITY_LINE_ITEM!$A$1:$H$37</definedName>
    <definedName name="_xlnm._FilterDatabase" localSheetId="12" hidden="1">MATERNITY_TIMELINE!$A$2:$AW$153</definedName>
    <definedName name="AllowedAmt" localSheetId="9">DIABETES_TIMELINE!$H:$H</definedName>
    <definedName name="AllowedAmt" localSheetId="15">FRACTURE_TIMELINE!$H:$H</definedName>
    <definedName name="AllowedAmt" localSheetId="12">MATERNITY_TIMELINE!$H:$H</definedName>
    <definedName name="AllowedAmtAfterCopayCoins" localSheetId="9">DIABETES_TIMELINE!$T:$T</definedName>
    <definedName name="AllowedAmtAfterCopayCoins" localSheetId="15">FRACTURE_TIMELINE!$T:$T</definedName>
    <definedName name="AllowedAmtAfterCopayCoins" localSheetId="12">MATERNITY_TIMELINE!$T:$T</definedName>
    <definedName name="AmountSubjectToOPL" localSheetId="9">DIABETES_TIMELINE!$AN:$AN</definedName>
    <definedName name="AmountSubjectToOPL" localSheetId="15">FRACTURE_TIMELINE!$AN:$AN</definedName>
    <definedName name="AmountSubjectToOPL" localSheetId="12">MATERNITY_TIMELINE!$AN:$AN</definedName>
    <definedName name="AmtExceedAnnualLimit" localSheetId="9">DIABETES_TIMELINE!$P:$P</definedName>
    <definedName name="AmtExceedAnnualLimit" localSheetId="15">FRACTURE_TIMELINE!$P:$P</definedName>
    <definedName name="AmtExceedAnnualLimit" localSheetId="12">MATERNITY_TIMELINE!$P:$P</definedName>
    <definedName name="AmtExceedMonthLimit" localSheetId="9">DIABETES_TIMELINE!$M:$M</definedName>
    <definedName name="AmtExceedMonthLimit" localSheetId="15">FRACTURE_TIMELINE!$M:$M</definedName>
    <definedName name="AmtExceedMonthLimit" localSheetId="12">MATERNITY_TIMELINE!$M:$M</definedName>
    <definedName name="AnnualLimit" localSheetId="9">DIABETES_TIMELINE!$N:$N</definedName>
    <definedName name="AnnualLimit" localSheetId="15">FRACTURE_TIMELINE!$N:$N</definedName>
    <definedName name="AnnualLimit" localSheetId="12">MATERNITY_TIMELINE!$N:$N</definedName>
    <definedName name="BenefitCategory" localSheetId="9">DIABETES_TIMELINE!$F:$F</definedName>
    <definedName name="BenefitCategory" localSheetId="15">FRACTURE_TIMELINE!$F:$F</definedName>
    <definedName name="BenefitCategory" localSheetId="12">MATERNITY_TIMELINE!$F:$F</definedName>
    <definedName name="BenefitCategoryList">BENEFIT_PARAMETERS!$A$7:$A$27</definedName>
    <definedName name="BenefitCoins">BENEFIT_PARAMETERS!$J$7:$J$27</definedName>
    <definedName name="BenefitCopay">BENEFIT_PARAMETERS!$I$7:$I$27</definedName>
    <definedName name="BenefitCostSharing">BENEFIT_PARAMETERS!$B$7:$B$27</definedName>
    <definedName name="BenefitDeductible">BENEFIT_PARAMETERS!$H$7:$H$27</definedName>
    <definedName name="BenefitDeductiblePayment" localSheetId="9">DIABETES_TIMELINE!$AI:$AI</definedName>
    <definedName name="BenefitDeductiblePayment" localSheetId="15">FRACTURE_TIMELINE!$AI:$AI</definedName>
    <definedName name="BenefitDeductiblePayment" localSheetId="12">MATERNITY_TIMELINE!$AI:$AI</definedName>
    <definedName name="BenefitDedutibleApplies" localSheetId="9">DIABETES_TIMELINE!$AG:$AG</definedName>
    <definedName name="BenefitDedutibleApplies" localSheetId="15">FRACTURE_TIMELINE!$AG:$AG</definedName>
    <definedName name="BenefitDedutibleApplies" localSheetId="12">MATERNITY_TIMELINE!$AG:$AG</definedName>
    <definedName name="BenefitDesignTable">BENEFIT_PARAMETERS!$A$8:$M$27</definedName>
    <definedName name="BenefitLimitAnnual">BENEFIT_PARAMETERS!$L$7:$L$27</definedName>
    <definedName name="BenefitLimithMonth">BENEFIT_PARAMETERS!$K$7:$K$27</definedName>
    <definedName name="BenefitOOPLimitApplies">BENEFIT_PARAMETERS!$M$7:$M$27</definedName>
    <definedName name="ClaimDate" localSheetId="9">DIABETES_TIMELINE!$B:$B</definedName>
    <definedName name="ClaimDate" localSheetId="15">FRACTURE_TIMELINE!$B:$B</definedName>
    <definedName name="ClaimDate" localSheetId="12">MATERNITY_TIMELINE!$B:$B</definedName>
    <definedName name="ClaimMonth" localSheetId="9">DIABETES_TIMELINE!$C:$C</definedName>
    <definedName name="ClaimMonth" localSheetId="15">FRACTURE_TIMELINE!$C:$C</definedName>
    <definedName name="ClaimMonth" localSheetId="12">MATERNITY_TIMELINE!$C:$C</definedName>
    <definedName name="ClaimNumber" localSheetId="9">DIABETES_TIMELINE!$A:$A</definedName>
    <definedName name="ClaimNumber" localSheetId="15">FRACTURE_TIMELINE!$A:$A</definedName>
    <definedName name="ClaimNumber" localSheetId="12">MATERNITY_TIMELINE!$A:$A</definedName>
    <definedName name="CoInsAmount" localSheetId="9">DIABETES_TIMELINE!$S:$S</definedName>
    <definedName name="CoInsAmount" localSheetId="15">FRACTURE_TIMELINE!$S:$S</definedName>
    <definedName name="CoInsAmount" localSheetId="12">MATERNITY_TIMELINE!$S:$S</definedName>
    <definedName name="CoInsRate" localSheetId="9">DIABETES_TIMELINE!$R:$R</definedName>
    <definedName name="CoInsRate" localSheetId="15">FRACTURE_TIMELINE!$R:$R</definedName>
    <definedName name="CoInsRate" localSheetId="12">MATERNITY_TIMELINE!$R:$R</definedName>
    <definedName name="CoPayAmount" localSheetId="9">DIABETES_TIMELINE!$Q:$Q</definedName>
    <definedName name="CoPayAmount" localSheetId="15">FRACTURE_TIMELINE!$Q:$Q</definedName>
    <definedName name="CoPayAmount" localSheetId="12">MATERNITY_TIMELINE!$Q:$Q</definedName>
    <definedName name="CostShareType">BENEFIT_DESIGN!$X$8:$X$26</definedName>
    <definedName name="CostSharingType" localSheetId="9">DIABETES_TIMELINE!$G:$G</definedName>
    <definedName name="CostSharingType" localSheetId="15">FRACTURE_TIMELINE!$G:$G</definedName>
    <definedName name="CostSharingType" localSheetId="12">MATERNITY_TIMELINE!$G:$G</definedName>
    <definedName name="CoveredAmt" localSheetId="9">DIABETES_TIMELINE!$J:$J</definedName>
    <definedName name="CoveredAmt" localSheetId="15">FRACTURE_TIMELINE!$J:$J</definedName>
    <definedName name="CoveredAmt" localSheetId="12">MATERNITY_TIMELINE!$J:$J</definedName>
    <definedName name="CoveredAmtAfterDeductibles" localSheetId="9">DIABETES_TIMELINE!$AK:$AK</definedName>
    <definedName name="CoveredAmtAfterDeductibles" localSheetId="15">FRACTURE_TIMELINE!$AK:$AK</definedName>
    <definedName name="CoveredAmtAfterDeductibles" localSheetId="12">MATERNITY_TIMELINE!$AK:$AK</definedName>
    <definedName name="DeductibleCApplies" localSheetId="9">DIABETES_TIMELINE!$AA:$AA</definedName>
    <definedName name="DeductibleCApplies" localSheetId="15">FRACTURE_TIMELINE!$AA:$AA</definedName>
    <definedName name="DeductibleCApplies" localSheetId="12">MATERNITY_TIMELINE!$AA:$AA</definedName>
    <definedName name="DeductibleCPayment" localSheetId="9">DIABETES_TIMELINE!$AC:$AC</definedName>
    <definedName name="DeductibleCPayment" localSheetId="15">FRACTURE_TIMELINE!$AC:$AC</definedName>
    <definedName name="DeductibleCPayment" localSheetId="12">MATERNITY_TIMELINE!$AC:$AC</definedName>
    <definedName name="DeductibleDApplies" localSheetId="9">DIABETES_TIMELINE!$AD:$AD</definedName>
    <definedName name="DeductibleDApplies" localSheetId="15">FRACTURE_TIMELINE!$AD:$AD</definedName>
    <definedName name="DeductibleDApplies" localSheetId="12">MATERNITY_TIMELINE!$AD:$AD</definedName>
    <definedName name="DeductibleDPayment" localSheetId="9">DIABETES_TIMELINE!$AF:$AF</definedName>
    <definedName name="DeductibleDPayment" localSheetId="15">FRACTURE_TIMELINE!$AF:$AF</definedName>
    <definedName name="DeductibleDPayment" localSheetId="12">MATERNITY_TIMELINE!$AF:$AF</definedName>
    <definedName name="DiabetesFeeSchedule">DIABETES_LINE_ITEM!$A$2:$H$51</definedName>
    <definedName name="FractureFeeSchedule">FRACTURE_LINE_ITEM!$A$2:$G$29</definedName>
    <definedName name="MaternityFeeSchedule">MATERNITY_LINE_ITEM!$A$2:$G$51</definedName>
    <definedName name="MonthLimit" localSheetId="9">DIABETES_TIMELINE!$K:$K</definedName>
    <definedName name="MonthLimit" localSheetId="15">FRACTURE_TIMELINE!$K:$K</definedName>
    <definedName name="MonthLimit" localSheetId="12">MATERNITY_TIMELINE!$K:$K</definedName>
    <definedName name="NotCoveredAmt" localSheetId="9">DIABETES_TIMELINE!$I:$I</definedName>
    <definedName name="NotCoveredAmt" localSheetId="15">FRACTURE_TIMELINE!$I:$I</definedName>
    <definedName name="NotCoveredAmt" localSheetId="12">MATERNITY_TIMELINE!$I:$I</definedName>
    <definedName name="OPLApplies" localSheetId="9">DIABETES_TIMELINE!$AM:$AM</definedName>
    <definedName name="OPLApplies" localSheetId="15">FRACTURE_TIMELINE!$AM:$AM</definedName>
    <definedName name="OPLApplies" localSheetId="12">MATERNITY_TIMELINE!$AM:$AM</definedName>
    <definedName name="OPLimit">BENEFIT_PARAMETERS!$G$7:$G$27</definedName>
    <definedName name="OptDeductibleC">BENEFIT_PARAMETERS!$E$7:$E$27</definedName>
    <definedName name="OptDeductibleD">BENEFIT_PARAMETERS!$F$7:$F$27</definedName>
    <definedName name="PaymentTowardDeductibles" localSheetId="9">DIABETES_TIMELINE!$AJ:$AJ</definedName>
    <definedName name="PaymentTowardDeductibles" localSheetId="15">FRACTURE_TIMELINE!$AJ:$AJ</definedName>
    <definedName name="PaymentTowardDeductibles" localSheetId="12">MATERNITY_TIMELINE!$AJ:$AJ</definedName>
    <definedName name="PlanBenefitParameters">BENEFIT_DESIGN!$C$8:$I$32</definedName>
    <definedName name="PlanDeductible">BENEFIT_PARAMETERS!$C$7:$C$27</definedName>
    <definedName name="PlanDeductibleApplies" localSheetId="9">DIABETES_TIMELINE!$U:$U</definedName>
    <definedName name="PlanDeductibleApplies" localSheetId="15">FRACTURE_TIMELINE!$U:$U</definedName>
    <definedName name="PlanDeductibleApplies" localSheetId="12">MATERNITY_TIMELINE!$U:$U</definedName>
    <definedName name="PlanDeductibleApplies">TimelineDocumentation!#REF!</definedName>
    <definedName name="PlanDeductiblePayment" localSheetId="9">DIABETES_TIMELINE!$W:$W</definedName>
    <definedName name="PlanDeductiblePayment" localSheetId="15">FRACTURE_TIMELINE!$W:$W</definedName>
    <definedName name="PlanDeductiblePayment" localSheetId="12">MATERNITY_TIMELINE!$W:$W</definedName>
    <definedName name="PlanPaymentAmt" localSheetId="9">DIABETES_TIMELINE!$AQ:$AQ</definedName>
    <definedName name="PlanPaymentAmt" localSheetId="15">FRACTURE_TIMELINE!$AQ:$AQ</definedName>
    <definedName name="PlanPaymentAmt" localSheetId="12">MATERNITY_TIMELINE!$AQ:$AQ</definedName>
    <definedName name="PriorUseAnnual" localSheetId="9">DIABETES_TIMELINE!$O:$O</definedName>
    <definedName name="PriorUseAnnual" localSheetId="15">FRACTURE_TIMELINE!$O:$O</definedName>
    <definedName name="PriorUseAnnual" localSheetId="12">MATERNITY_TIMELINE!$O:$O</definedName>
    <definedName name="PriorUseMonth" localSheetId="9">DIABETES_TIMELINE!$L:$L</definedName>
    <definedName name="PriorUseMonth" localSheetId="15">FRACTURE_TIMELINE!$L:$L</definedName>
    <definedName name="PriorUseMonth" localSheetId="12">MATERNITY_TIMELINE!$L:$L</definedName>
    <definedName name="RemainingBenefitDeduc" localSheetId="9">DIABETES_TIMELINE!$AH:$AH</definedName>
    <definedName name="RemainingBenefitDeduc" localSheetId="15">FRACTURE_TIMELINE!$AH:$AH</definedName>
    <definedName name="RemainingBenefitDeduc" localSheetId="12">MATERNITY_TIMELINE!$AH:$AH</definedName>
    <definedName name="RemainingDeductibleC" localSheetId="9">DIABETES_TIMELINE!$AB:$AB</definedName>
    <definedName name="RemainingDeductibleC" localSheetId="15">FRACTURE_TIMELINE!$AB:$AB</definedName>
    <definedName name="RemainingDeductibleC" localSheetId="12">MATERNITY_TIMELINE!$AB:$AB</definedName>
    <definedName name="RemainingDeductibleD" localSheetId="9">DIABETES_TIMELINE!$AE:$AE</definedName>
    <definedName name="RemainingDeductibleD" localSheetId="15">FRACTURE_TIMELINE!$AE:$AE</definedName>
    <definedName name="RemainingDeductibleD" localSheetId="12">MATERNITY_TIMELINE!$AE:$AE</definedName>
    <definedName name="RemainingOPL" localSheetId="9">DIABETES_TIMELINE!$AO:$AO</definedName>
    <definedName name="RemainingOPL" localSheetId="15">FRACTURE_TIMELINE!$AO:$AO</definedName>
    <definedName name="RemainingOPL" localSheetId="12">MATERNITY_TIMELINE!$AO:$AO</definedName>
    <definedName name="RemainingPlanDeduc" localSheetId="9">DIABETES_TIMELINE!$V:$V</definedName>
    <definedName name="RemainingPlanDeduc" localSheetId="15">FRACTURE_TIMELINE!$V:$V</definedName>
    <definedName name="RemainingPlanDeduc" localSheetId="12">MATERNITY_TIMELINE!$V:$V</definedName>
    <definedName name="RemainingRxDeduc" localSheetId="9">DIABETES_TIMELINE!$Y:$Y</definedName>
    <definedName name="RemainingRxDeduc" localSheetId="15">FRACTURE_TIMELINE!$Y:$Y</definedName>
    <definedName name="RemainingRxDeduc" localSheetId="12">MATERNITY_TIMELINE!$Y:$Y</definedName>
    <definedName name="RxDeductible">BENEFIT_PARAMETERS!$D$7:$D$27</definedName>
    <definedName name="RxDeductibleApplies" localSheetId="9">DIABETES_TIMELINE!$X:$X</definedName>
    <definedName name="RxDeductibleApplies" localSheetId="15">FRACTURE_TIMELINE!$X:$X</definedName>
    <definedName name="RxDeductibleApplies" localSheetId="12">MATERNITY_TIMELINE!$X:$X</definedName>
    <definedName name="RxDeductibleApplies">TimelineDocumentation!#REF!</definedName>
    <definedName name="RxDeductiblePayment" localSheetId="9">DIABETES_TIMELINE!$Z:$Z</definedName>
    <definedName name="RxDeductiblePayment" localSheetId="15">FRACTURE_TIMELINE!$Z:$Z</definedName>
    <definedName name="RxDeductiblePayment" localSheetId="12">MATERNITY_TIMELINE!$Z:$Z</definedName>
    <definedName name="ServiceCode" localSheetId="9">DIABETES_TIMELINE!$D:$D</definedName>
    <definedName name="ServiceCode" localSheetId="15">FRACTURE_TIMELINE!$D:$D</definedName>
    <definedName name="ServiceCode" localSheetId="12">MATERNITY_TIMELINE!$D:$D</definedName>
    <definedName name="SubscriberPayCoins" localSheetId="9">DIABETES_TIMELINE!$AU:$AU</definedName>
    <definedName name="SubscriberPayCoins" localSheetId="15">FRACTURE_TIMELINE!$AU:$AU</definedName>
    <definedName name="SubscriberPayCoins" localSheetId="12">MATERNITY_TIMELINE!$AU:$AU</definedName>
    <definedName name="SubscriberPayCopay" localSheetId="9">DIABETES_TIMELINE!$AT:$AT</definedName>
    <definedName name="SubscriberPayCopay" localSheetId="15">FRACTURE_TIMELINE!$AT:$AT</definedName>
    <definedName name="SubscriberPayCopay" localSheetId="12">MATERNITY_TIMELINE!$AT:$AT</definedName>
    <definedName name="SubscriberPayDeduc" localSheetId="9">DIABETES_TIMELINE!$AV:$AV</definedName>
    <definedName name="SubscriberPayDeduc" localSheetId="15">FRACTURE_TIMELINE!$AV:$AV</definedName>
    <definedName name="SubscriberPayDeduc" localSheetId="12">MATERNITY_TIMELINE!$AV:$AV</definedName>
    <definedName name="SubscriberPayExclusion" localSheetId="9">DIABETES_TIMELINE!$AS:$AS</definedName>
    <definedName name="SubscriberPayExclusion" localSheetId="15">FRACTURE_TIMELINE!$AS:$AS</definedName>
    <definedName name="SubscriberPayExclusion" localSheetId="12">MATERNITY_TIMELINE!$AS:$AS</definedName>
    <definedName name="SubscriberPaymentAfterOPL" localSheetId="9">DIABETES_TIMELINE!$AP:$AP</definedName>
    <definedName name="SubscriberPaymentAfterOPL" localSheetId="15">FRACTURE_TIMELINE!$AP:$AP</definedName>
    <definedName name="SubscriberPaymentAfterOPL" localSheetId="12">MATERNITY_TIMELINE!$AP:$AP</definedName>
    <definedName name="SubscriberPaymentBeforeOPL" localSheetId="9">DIABETES_TIMELINE!$AL:$AL</definedName>
    <definedName name="SubscriberPaymentBeforeOPL" localSheetId="15">FRACTURE_TIMELINE!$AL:$AL</definedName>
    <definedName name="SubscriberPaymentBeforeOPL" localSheetId="12">MATERNITY_TIMELINE!$AL:$AL</definedName>
    <definedName name="SubscriberPayNonCov" localSheetId="9">DIABETES_TIMELINE!$AR:$AR</definedName>
    <definedName name="SubscriberPayNonCov" localSheetId="15">FRACTURE_TIMELINE!$AR:$AR</definedName>
    <definedName name="SubscriberPayNonCov" localSheetId="12">MATERNITY_TIMELINE!$AR:$AR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4" l="1"/>
  <c r="A4" i="14" l="1"/>
  <c r="A5" i="14"/>
  <c r="A6" i="14" s="1"/>
  <c r="A7" i="14" s="1"/>
  <c r="A8" i="14" s="1"/>
  <c r="A9" i="14" s="1"/>
  <c r="A10" i="14" s="1"/>
  <c r="E10" i="14"/>
  <c r="F10" i="14"/>
  <c r="U10" i="14" s="1"/>
  <c r="H10" i="14"/>
  <c r="AD10" i="14" l="1"/>
  <c r="N10" i="14"/>
  <c r="AA10" i="14"/>
  <c r="K10" i="14"/>
  <c r="X10" i="14"/>
  <c r="AM10" i="14"/>
  <c r="R10" i="14"/>
  <c r="G10" i="14"/>
  <c r="I10" i="14" s="1"/>
  <c r="AR10" i="14" s="1"/>
  <c r="L10" i="14"/>
  <c r="O10" i="14"/>
  <c r="P10" i="14" s="1"/>
  <c r="A11" i="14"/>
  <c r="A12" i="14" s="1"/>
  <c r="A13" i="14" s="1"/>
  <c r="A14" i="14" s="1"/>
  <c r="A15" i="14" s="1"/>
  <c r="A16" i="14" s="1"/>
  <c r="A17" i="14" s="1"/>
  <c r="A18" i="14" s="1"/>
  <c r="AG10" i="14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M10" i="14" l="1"/>
  <c r="J10" i="14" s="1"/>
  <c r="S10" i="14" s="1"/>
  <c r="AS10" i="14"/>
  <c r="E2" i="11"/>
  <c r="Q10" i="14" l="1"/>
  <c r="T10" i="14" s="1"/>
  <c r="I40" i="9"/>
  <c r="J40" i="9"/>
  <c r="I41" i="9"/>
  <c r="J41" i="9"/>
  <c r="F4" i="8" l="1"/>
  <c r="I2" i="15"/>
  <c r="J2" i="15"/>
  <c r="I3" i="15"/>
  <c r="J3" i="15"/>
  <c r="I4" i="15"/>
  <c r="J4" i="15"/>
  <c r="I5" i="15"/>
  <c r="J5" i="15"/>
  <c r="I6" i="15"/>
  <c r="J6" i="15"/>
  <c r="I7" i="15"/>
  <c r="J7" i="15"/>
  <c r="I8" i="15"/>
  <c r="J8" i="15"/>
  <c r="I9" i="15"/>
  <c r="J9" i="15"/>
  <c r="I10" i="15"/>
  <c r="J10" i="15"/>
  <c r="I11" i="15"/>
  <c r="J11" i="15"/>
  <c r="I12" i="15"/>
  <c r="J12" i="15"/>
  <c r="I13" i="15"/>
  <c r="J13" i="15"/>
  <c r="I14" i="15"/>
  <c r="J14" i="15"/>
  <c r="I15" i="15"/>
  <c r="J15" i="15"/>
  <c r="I3" i="6"/>
  <c r="J3" i="6"/>
  <c r="I4" i="6"/>
  <c r="J4" i="6"/>
  <c r="I5" i="6"/>
  <c r="J5" i="6"/>
  <c r="I6" i="6"/>
  <c r="J6" i="6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J2" i="6"/>
  <c r="I2" i="6"/>
  <c r="I2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E123" i="3"/>
  <c r="F123" i="3"/>
  <c r="H123" i="3"/>
  <c r="L123" i="3"/>
  <c r="O123" i="3"/>
  <c r="E124" i="3"/>
  <c r="F124" i="3"/>
  <c r="H124" i="3"/>
  <c r="L124" i="3"/>
  <c r="O124" i="3"/>
  <c r="E125" i="3"/>
  <c r="F125" i="3"/>
  <c r="H125" i="3"/>
  <c r="L125" i="3"/>
  <c r="O125" i="3"/>
  <c r="E126" i="3"/>
  <c r="F126" i="3"/>
  <c r="H126" i="3"/>
  <c r="L126" i="3"/>
  <c r="O126" i="3"/>
  <c r="E127" i="3"/>
  <c r="F127" i="3"/>
  <c r="H127" i="3"/>
  <c r="L127" i="3"/>
  <c r="O127" i="3"/>
  <c r="E128" i="3"/>
  <c r="F128" i="3"/>
  <c r="H128" i="3"/>
  <c r="L128" i="3"/>
  <c r="O128" i="3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2" i="9"/>
  <c r="O18" i="14" l="1"/>
  <c r="L18" i="14"/>
  <c r="O17" i="14"/>
  <c r="L17" i="14"/>
  <c r="O16" i="14"/>
  <c r="L16" i="14"/>
  <c r="O15" i="14"/>
  <c r="L15" i="14"/>
  <c r="O14" i="14"/>
  <c r="L14" i="14"/>
  <c r="O13" i="14"/>
  <c r="L13" i="14"/>
  <c r="O12" i="14"/>
  <c r="L12" i="14"/>
  <c r="O11" i="14"/>
  <c r="L11" i="14"/>
  <c r="O9" i="14"/>
  <c r="L9" i="14"/>
  <c r="O8" i="14"/>
  <c r="L8" i="14"/>
  <c r="O7" i="14"/>
  <c r="L7" i="14"/>
  <c r="O6" i="14"/>
  <c r="L6" i="14"/>
  <c r="O5" i="14"/>
  <c r="L5" i="14"/>
  <c r="O4" i="14"/>
  <c r="L4" i="14"/>
  <c r="O3" i="14"/>
  <c r="L3" i="14"/>
  <c r="O56" i="10"/>
  <c r="O55" i="10"/>
  <c r="O54" i="10"/>
  <c r="O53" i="10"/>
  <c r="O52" i="10"/>
  <c r="O51" i="10"/>
  <c r="O50" i="10"/>
  <c r="L50" i="10"/>
  <c r="O49" i="10"/>
  <c r="L49" i="10"/>
  <c r="O48" i="10"/>
  <c r="L48" i="10"/>
  <c r="O47" i="10"/>
  <c r="L47" i="10"/>
  <c r="O46" i="10"/>
  <c r="L46" i="10"/>
  <c r="O45" i="10"/>
  <c r="L45" i="10"/>
  <c r="O44" i="10"/>
  <c r="L44" i="10"/>
  <c r="O43" i="10"/>
  <c r="L43" i="10"/>
  <c r="O42" i="10"/>
  <c r="L42" i="10"/>
  <c r="O41" i="10"/>
  <c r="L41" i="10"/>
  <c r="O40" i="10"/>
  <c r="L40" i="10"/>
  <c r="O39" i="10"/>
  <c r="L39" i="10"/>
  <c r="O38" i="10"/>
  <c r="L38" i="10"/>
  <c r="O37" i="10"/>
  <c r="L37" i="10"/>
  <c r="O36" i="10"/>
  <c r="L36" i="10"/>
  <c r="O35" i="10"/>
  <c r="L35" i="10"/>
  <c r="O34" i="10"/>
  <c r="L34" i="10"/>
  <c r="O33" i="10"/>
  <c r="L33" i="10"/>
  <c r="O32" i="10"/>
  <c r="L32" i="10"/>
  <c r="O31" i="10"/>
  <c r="L31" i="10"/>
  <c r="O30" i="10"/>
  <c r="L30" i="10"/>
  <c r="O29" i="10"/>
  <c r="L29" i="10"/>
  <c r="O28" i="10"/>
  <c r="L28" i="10"/>
  <c r="O27" i="10"/>
  <c r="L27" i="10"/>
  <c r="O26" i="10"/>
  <c r="L26" i="10"/>
  <c r="O25" i="10"/>
  <c r="L25" i="10"/>
  <c r="O24" i="10"/>
  <c r="L24" i="10"/>
  <c r="O23" i="10"/>
  <c r="L23" i="10"/>
  <c r="O22" i="10"/>
  <c r="L22" i="10"/>
  <c r="O21" i="10"/>
  <c r="L21" i="10"/>
  <c r="O20" i="10"/>
  <c r="L20" i="10"/>
  <c r="O19" i="10"/>
  <c r="L19" i="10"/>
  <c r="O18" i="10"/>
  <c r="L18" i="10"/>
  <c r="O17" i="10"/>
  <c r="L17" i="10"/>
  <c r="O16" i="10"/>
  <c r="L16" i="10"/>
  <c r="O15" i="10"/>
  <c r="L15" i="10"/>
  <c r="O14" i="10"/>
  <c r="L14" i="10"/>
  <c r="O13" i="10"/>
  <c r="L13" i="10"/>
  <c r="O12" i="10"/>
  <c r="L12" i="10"/>
  <c r="O11" i="10"/>
  <c r="L11" i="10"/>
  <c r="O10" i="10"/>
  <c r="L10" i="10"/>
  <c r="O9" i="10"/>
  <c r="L9" i="10"/>
  <c r="O8" i="10"/>
  <c r="L8" i="10"/>
  <c r="O7" i="10"/>
  <c r="L7" i="10"/>
  <c r="O6" i="10"/>
  <c r="L6" i="10"/>
  <c r="O5" i="10"/>
  <c r="L5" i="10"/>
  <c r="O4" i="10"/>
  <c r="L4" i="10"/>
  <c r="O3" i="10"/>
  <c r="L3" i="10"/>
  <c r="EJ6" i="20" l="1"/>
  <c r="EC6" i="20"/>
  <c r="DV6" i="20"/>
  <c r="DO6" i="20"/>
  <c r="T26" i="24"/>
  <c r="S26" i="24"/>
  <c r="R26" i="24"/>
  <c r="Q26" i="24"/>
  <c r="P26" i="24"/>
  <c r="O26" i="24"/>
  <c r="T17" i="24"/>
  <c r="S17" i="24"/>
  <c r="R17" i="24"/>
  <c r="Q17" i="24"/>
  <c r="P17" i="24"/>
  <c r="O17" i="24"/>
  <c r="T13" i="24"/>
  <c r="S13" i="24"/>
  <c r="R13" i="24"/>
  <c r="Q13" i="24"/>
  <c r="P13" i="24"/>
  <c r="O13" i="24"/>
  <c r="K9" i="5"/>
  <c r="L9" i="5"/>
  <c r="M9" i="5"/>
  <c r="K10" i="5"/>
  <c r="L10" i="5"/>
  <c r="M10" i="5"/>
  <c r="K11" i="5"/>
  <c r="L11" i="5"/>
  <c r="M11" i="5"/>
  <c r="K12" i="5"/>
  <c r="L12" i="5"/>
  <c r="M12" i="5"/>
  <c r="K13" i="5"/>
  <c r="L13" i="5"/>
  <c r="M13" i="5"/>
  <c r="K14" i="5"/>
  <c r="L14" i="5"/>
  <c r="M14" i="5"/>
  <c r="K15" i="5"/>
  <c r="L15" i="5"/>
  <c r="M15" i="5"/>
  <c r="K16" i="5"/>
  <c r="L16" i="5"/>
  <c r="M16" i="5"/>
  <c r="K17" i="5"/>
  <c r="L17" i="5"/>
  <c r="M17" i="5"/>
  <c r="K18" i="5"/>
  <c r="L18" i="5"/>
  <c r="M18" i="5"/>
  <c r="K19" i="5"/>
  <c r="L19" i="5"/>
  <c r="M19" i="5"/>
  <c r="K20" i="5"/>
  <c r="L20" i="5"/>
  <c r="M20" i="5"/>
  <c r="K21" i="5"/>
  <c r="L21" i="5"/>
  <c r="M21" i="5"/>
  <c r="K22" i="5"/>
  <c r="K124" i="3" s="1"/>
  <c r="M124" i="3" s="1"/>
  <c r="L22" i="5"/>
  <c r="N124" i="3" s="1"/>
  <c r="P124" i="3" s="1"/>
  <c r="M22" i="5"/>
  <c r="AM124" i="3" s="1"/>
  <c r="AN124" i="3" s="1"/>
  <c r="K23" i="5"/>
  <c r="L23" i="5"/>
  <c r="M23" i="5"/>
  <c r="K24" i="5"/>
  <c r="L24" i="5"/>
  <c r="M24" i="5"/>
  <c r="K25" i="5"/>
  <c r="L25" i="5"/>
  <c r="M25" i="5"/>
  <c r="K26" i="5"/>
  <c r="L26" i="5"/>
  <c r="M26" i="5"/>
  <c r="K27" i="5"/>
  <c r="L27" i="5"/>
  <c r="M27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G124" i="3" s="1"/>
  <c r="I124" i="3" s="1"/>
  <c r="AR124" i="3" s="1"/>
  <c r="B23" i="5"/>
  <c r="B24" i="5"/>
  <c r="B25" i="5"/>
  <c r="B26" i="5"/>
  <c r="B27" i="5"/>
  <c r="L9" i="11"/>
  <c r="C9" i="24" s="1"/>
  <c r="L13" i="11"/>
  <c r="C13" i="24" s="1"/>
  <c r="L16" i="11"/>
  <c r="C16" i="24" s="1"/>
  <c r="L17" i="11"/>
  <c r="C17" i="24" s="1"/>
  <c r="L19" i="11"/>
  <c r="C19" i="24" s="1"/>
  <c r="L20" i="11"/>
  <c r="C20" i="24" s="1"/>
  <c r="L21" i="11"/>
  <c r="C21" i="24" s="1"/>
  <c r="L22" i="11"/>
  <c r="C22" i="24" s="1"/>
  <c r="L23" i="11"/>
  <c r="C23" i="24" s="1"/>
  <c r="L24" i="11"/>
  <c r="C24" i="24" s="1"/>
  <c r="L25" i="11"/>
  <c r="C25" i="24" s="1"/>
  <c r="L26" i="11"/>
  <c r="C26" i="24" s="1"/>
  <c r="L27" i="11"/>
  <c r="C27" i="24" s="1"/>
  <c r="T16" i="11"/>
  <c r="U16" i="11" s="1"/>
  <c r="T20" i="11"/>
  <c r="T21" i="11"/>
  <c r="V21" i="11" s="1"/>
  <c r="T22" i="11"/>
  <c r="U22" i="11" s="1"/>
  <c r="T23" i="11"/>
  <c r="V23" i="11" s="1"/>
  <c r="T24" i="11"/>
  <c r="U24" i="11" s="1"/>
  <c r="T25" i="11"/>
  <c r="V25" i="11" s="1"/>
  <c r="T27" i="11"/>
  <c r="V27" i="11" s="1"/>
  <c r="S27" i="11"/>
  <c r="S25" i="11"/>
  <c r="J25" i="5" s="1"/>
  <c r="S24" i="11"/>
  <c r="J24" i="5" s="1"/>
  <c r="S23" i="11"/>
  <c r="J23" i="5" s="1"/>
  <c r="S22" i="11"/>
  <c r="S21" i="11"/>
  <c r="J21" i="5" s="1"/>
  <c r="S20" i="11"/>
  <c r="J20" i="5" s="1"/>
  <c r="S16" i="11"/>
  <c r="J16" i="5" s="1"/>
  <c r="R27" i="11"/>
  <c r="R25" i="11"/>
  <c r="R24" i="11"/>
  <c r="R23" i="11"/>
  <c r="R22" i="11"/>
  <c r="I22" i="5" s="1"/>
  <c r="R21" i="11"/>
  <c r="R20" i="11"/>
  <c r="I20" i="5" s="1"/>
  <c r="R16" i="11"/>
  <c r="Q27" i="11"/>
  <c r="H27" i="5" s="1"/>
  <c r="Q25" i="11"/>
  <c r="H25" i="5" s="1"/>
  <c r="Q24" i="11"/>
  <c r="H24" i="5" s="1"/>
  <c r="Q23" i="11"/>
  <c r="H23" i="5" s="1"/>
  <c r="Q22" i="11"/>
  <c r="H22" i="5" s="1"/>
  <c r="AG124" i="3" s="1"/>
  <c r="Q21" i="11"/>
  <c r="Q20" i="11"/>
  <c r="H20" i="5" s="1"/>
  <c r="Q16" i="11"/>
  <c r="P27" i="11"/>
  <c r="P25" i="11"/>
  <c r="F25" i="5" s="1"/>
  <c r="P24" i="11"/>
  <c r="F24" i="5" s="1"/>
  <c r="G24" i="24" s="1"/>
  <c r="P23" i="11"/>
  <c r="F23" i="5" s="1"/>
  <c r="G23" i="24" s="1"/>
  <c r="P22" i="11"/>
  <c r="P21" i="11"/>
  <c r="P20" i="11"/>
  <c r="F20" i="5" s="1"/>
  <c r="P16" i="11"/>
  <c r="F16" i="5" s="1"/>
  <c r="G16" i="24" s="1"/>
  <c r="O27" i="11"/>
  <c r="E27" i="5" s="1"/>
  <c r="O25" i="11"/>
  <c r="O24" i="11"/>
  <c r="E24" i="5" s="1"/>
  <c r="F24" i="24" s="1"/>
  <c r="O23" i="11"/>
  <c r="E23" i="5" s="1"/>
  <c r="O22" i="11"/>
  <c r="E22" i="5" s="1"/>
  <c r="AA124" i="3" s="1"/>
  <c r="O21" i="11"/>
  <c r="O20" i="11"/>
  <c r="E20" i="5" s="1"/>
  <c r="O16" i="11"/>
  <c r="E16" i="5" s="1"/>
  <c r="F16" i="24" s="1"/>
  <c r="N27" i="11"/>
  <c r="D27" i="5" s="1"/>
  <c r="N25" i="11"/>
  <c r="D25" i="5" s="1"/>
  <c r="N24" i="11"/>
  <c r="N23" i="11"/>
  <c r="D23" i="5" s="1"/>
  <c r="N22" i="11"/>
  <c r="D22" i="5" s="1"/>
  <c r="N21" i="11"/>
  <c r="D21" i="5" s="1"/>
  <c r="E21" i="24" s="1"/>
  <c r="N20" i="11"/>
  <c r="D20" i="5" s="1"/>
  <c r="N16" i="11"/>
  <c r="D16" i="5" s="1"/>
  <c r="M16" i="11"/>
  <c r="C16" i="5" s="1"/>
  <c r="D16" i="24" s="1"/>
  <c r="M20" i="11"/>
  <c r="C20" i="5" s="1"/>
  <c r="M21" i="11"/>
  <c r="C21" i="5" s="1"/>
  <c r="D21" i="24" s="1"/>
  <c r="M22" i="11"/>
  <c r="C22" i="5" s="1"/>
  <c r="M23" i="11"/>
  <c r="C23" i="5" s="1"/>
  <c r="D23" i="24" s="1"/>
  <c r="M24" i="11"/>
  <c r="C24" i="5" s="1"/>
  <c r="D24" i="24" s="1"/>
  <c r="M25" i="11"/>
  <c r="M27" i="11"/>
  <c r="C27" i="5" s="1"/>
  <c r="X20" i="11"/>
  <c r="X19" i="11"/>
  <c r="X18" i="11"/>
  <c r="X17" i="11"/>
  <c r="X25" i="11"/>
  <c r="X24" i="11"/>
  <c r="X23" i="11"/>
  <c r="X22" i="11"/>
  <c r="X13" i="11"/>
  <c r="X12" i="11"/>
  <c r="X11" i="11"/>
  <c r="X10" i="1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T9" i="24"/>
  <c r="S9" i="24"/>
  <c r="R9" i="24"/>
  <c r="Q9" i="24"/>
  <c r="P9" i="24"/>
  <c r="O9" i="24"/>
  <c r="AM126" i="3" l="1"/>
  <c r="AM125" i="3"/>
  <c r="AM123" i="3"/>
  <c r="N125" i="3"/>
  <c r="P125" i="3" s="1"/>
  <c r="N123" i="3"/>
  <c r="P123" i="3" s="1"/>
  <c r="N126" i="3"/>
  <c r="P126" i="3" s="1"/>
  <c r="K125" i="3"/>
  <c r="M125" i="3" s="1"/>
  <c r="K123" i="3"/>
  <c r="M123" i="3" s="1"/>
  <c r="K126" i="3"/>
  <c r="M126" i="3" s="1"/>
  <c r="AG126" i="3"/>
  <c r="AG125" i="3"/>
  <c r="AG123" i="3"/>
  <c r="G123" i="3"/>
  <c r="I123" i="3" s="1"/>
  <c r="G126" i="3"/>
  <c r="I126" i="3" s="1"/>
  <c r="G125" i="3"/>
  <c r="I125" i="3" s="1"/>
  <c r="R126" i="3"/>
  <c r="R125" i="3"/>
  <c r="R123" i="3"/>
  <c r="AS124" i="3"/>
  <c r="Q124" i="3"/>
  <c r="J124" i="3"/>
  <c r="D22" i="24"/>
  <c r="U124" i="3"/>
  <c r="AM128" i="3"/>
  <c r="AM127" i="3"/>
  <c r="N127" i="3"/>
  <c r="P127" i="3" s="1"/>
  <c r="N128" i="3"/>
  <c r="P128" i="3" s="1"/>
  <c r="K127" i="3"/>
  <c r="M127" i="3" s="1"/>
  <c r="K128" i="3"/>
  <c r="M128" i="3" s="1"/>
  <c r="E25" i="24"/>
  <c r="X126" i="3"/>
  <c r="X125" i="3"/>
  <c r="X123" i="3"/>
  <c r="AD123" i="3"/>
  <c r="AD125" i="3"/>
  <c r="AD126" i="3"/>
  <c r="E22" i="24"/>
  <c r="X124" i="3"/>
  <c r="D20" i="24"/>
  <c r="U128" i="3"/>
  <c r="U127" i="3"/>
  <c r="G127" i="3"/>
  <c r="I127" i="3" s="1"/>
  <c r="G128" i="3"/>
  <c r="I128" i="3" s="1"/>
  <c r="X127" i="3"/>
  <c r="X128" i="3"/>
  <c r="AA128" i="3"/>
  <c r="AA127" i="3"/>
  <c r="G20" i="24"/>
  <c r="AD128" i="3"/>
  <c r="AD127" i="3"/>
  <c r="AG128" i="3"/>
  <c r="AG127" i="3"/>
  <c r="R128" i="3"/>
  <c r="R127" i="3"/>
  <c r="E16" i="24"/>
  <c r="E23" i="24"/>
  <c r="F23" i="24"/>
  <c r="F20" i="24"/>
  <c r="U25" i="11"/>
  <c r="C25" i="5"/>
  <c r="F22" i="5"/>
  <c r="AD124" i="3" s="1"/>
  <c r="L10" i="11"/>
  <c r="C10" i="24" s="1"/>
  <c r="L14" i="11"/>
  <c r="C14" i="24" s="1"/>
  <c r="L18" i="11"/>
  <c r="C18" i="24" s="1"/>
  <c r="E21" i="5"/>
  <c r="F21" i="24" s="1"/>
  <c r="F21" i="5"/>
  <c r="G21" i="24" s="1"/>
  <c r="H21" i="5"/>
  <c r="I21" i="5"/>
  <c r="U20" i="11"/>
  <c r="L11" i="11"/>
  <c r="C11" i="24" s="1"/>
  <c r="L12" i="11"/>
  <c r="C12" i="24" s="1"/>
  <c r="L15" i="11"/>
  <c r="C15" i="24" s="1"/>
  <c r="G23" i="5"/>
  <c r="J22" i="5"/>
  <c r="R124" i="3" s="1"/>
  <c r="F22" i="24"/>
  <c r="L8" i="11"/>
  <c r="C8" i="24" s="1"/>
  <c r="E20" i="24"/>
  <c r="G25" i="5"/>
  <c r="I23" i="5"/>
  <c r="G21" i="5"/>
  <c r="E25" i="5"/>
  <c r="G25" i="24"/>
  <c r="I25" i="5"/>
  <c r="D24" i="5"/>
  <c r="I24" i="5"/>
  <c r="E27" i="24"/>
  <c r="F27" i="5"/>
  <c r="G27" i="24" s="1"/>
  <c r="J27" i="5"/>
  <c r="F27" i="24"/>
  <c r="I27" i="5"/>
  <c r="D27" i="24"/>
  <c r="G27" i="5"/>
  <c r="H16" i="5"/>
  <c r="I16" i="5"/>
  <c r="V16" i="11"/>
  <c r="V20" i="11"/>
  <c r="V24" i="11"/>
  <c r="T11" i="11"/>
  <c r="U21" i="11"/>
  <c r="M9" i="11"/>
  <c r="N14" i="11"/>
  <c r="D14" i="5" s="1"/>
  <c r="E14" i="24" s="1"/>
  <c r="O9" i="11"/>
  <c r="P10" i="11"/>
  <c r="P17" i="11"/>
  <c r="P26" i="11"/>
  <c r="Q13" i="11"/>
  <c r="S17" i="11"/>
  <c r="T12" i="11"/>
  <c r="M14" i="11"/>
  <c r="C14" i="5" s="1"/>
  <c r="D14" i="24" s="1"/>
  <c r="N9" i="11"/>
  <c r="D9" i="5" s="1"/>
  <c r="E9" i="24" s="1"/>
  <c r="O10" i="11"/>
  <c r="O17" i="11"/>
  <c r="O26" i="11"/>
  <c r="P13" i="11"/>
  <c r="P18" i="11"/>
  <c r="R17" i="11"/>
  <c r="S9" i="11"/>
  <c r="T15" i="11"/>
  <c r="M18" i="11"/>
  <c r="C18" i="5" s="1"/>
  <c r="D18" i="24" s="1"/>
  <c r="M13" i="11"/>
  <c r="N10" i="11"/>
  <c r="D10" i="5" s="1"/>
  <c r="N17" i="11"/>
  <c r="D17" i="5" s="1"/>
  <c r="E17" i="24" s="1"/>
  <c r="N26" i="11"/>
  <c r="D26" i="5" s="1"/>
  <c r="E26" i="24" s="1"/>
  <c r="O13" i="11"/>
  <c r="O18" i="11"/>
  <c r="P14" i="11"/>
  <c r="Q9" i="11"/>
  <c r="Q17" i="11"/>
  <c r="R9" i="11"/>
  <c r="S13" i="11"/>
  <c r="T10" i="11"/>
  <c r="T14" i="11"/>
  <c r="T18" i="11"/>
  <c r="T26" i="11"/>
  <c r="K26" i="24" s="1"/>
  <c r="S26" i="11"/>
  <c r="S18" i="11"/>
  <c r="S14" i="11"/>
  <c r="S10" i="11"/>
  <c r="R26" i="11"/>
  <c r="R18" i="11"/>
  <c r="R14" i="11"/>
  <c r="R10" i="11"/>
  <c r="Q26" i="11"/>
  <c r="Q18" i="11"/>
  <c r="Q14" i="11"/>
  <c r="M26" i="11"/>
  <c r="C26" i="5" s="1"/>
  <c r="D26" i="24" s="1"/>
  <c r="M17" i="11"/>
  <c r="M10" i="11"/>
  <c r="C10" i="5" s="1"/>
  <c r="D10" i="24" s="1"/>
  <c r="N13" i="11"/>
  <c r="D13" i="5" s="1"/>
  <c r="E13" i="24" s="1"/>
  <c r="N18" i="11"/>
  <c r="D18" i="5" s="1"/>
  <c r="O14" i="11"/>
  <c r="P9" i="11"/>
  <c r="Q10" i="11"/>
  <c r="R13" i="11"/>
  <c r="T19" i="11"/>
  <c r="U27" i="11"/>
  <c r="U23" i="11"/>
  <c r="V22" i="11"/>
  <c r="M12" i="11"/>
  <c r="C12" i="5" s="1"/>
  <c r="D12" i="24" s="1"/>
  <c r="M8" i="11"/>
  <c r="N11" i="11"/>
  <c r="D11" i="5" s="1"/>
  <c r="N15" i="11"/>
  <c r="N19" i="11"/>
  <c r="O11" i="11"/>
  <c r="O15" i="11"/>
  <c r="O19" i="11"/>
  <c r="P11" i="11"/>
  <c r="F11" i="5" s="1"/>
  <c r="G11" i="24" s="1"/>
  <c r="P15" i="11"/>
  <c r="P19" i="11"/>
  <c r="Q11" i="11"/>
  <c r="Q15" i="11"/>
  <c r="Q19" i="11"/>
  <c r="R11" i="11"/>
  <c r="R15" i="11"/>
  <c r="R19" i="11"/>
  <c r="S11" i="11"/>
  <c r="S15" i="11"/>
  <c r="S19" i="11"/>
  <c r="T17" i="11"/>
  <c r="K17" i="24" s="1"/>
  <c r="T13" i="11"/>
  <c r="K13" i="24" s="1"/>
  <c r="T9" i="11"/>
  <c r="K9" i="24" s="1"/>
  <c r="M19" i="11"/>
  <c r="M15" i="11"/>
  <c r="M11" i="11"/>
  <c r="N8" i="11"/>
  <c r="N12" i="11"/>
  <c r="D12" i="5" s="1"/>
  <c r="O8" i="11"/>
  <c r="E8" i="5" s="1"/>
  <c r="F8" i="24" s="1"/>
  <c r="O12" i="11"/>
  <c r="E12" i="5" s="1"/>
  <c r="P8" i="11"/>
  <c r="F8" i="5" s="1"/>
  <c r="G8" i="24" s="1"/>
  <c r="P12" i="11"/>
  <c r="F12" i="5" s="1"/>
  <c r="G12" i="24" s="1"/>
  <c r="Q8" i="11"/>
  <c r="Q12" i="11"/>
  <c r="R8" i="11"/>
  <c r="R12" i="11"/>
  <c r="S8" i="11"/>
  <c r="S12" i="11"/>
  <c r="T8" i="11"/>
  <c r="B6" i="23"/>
  <c r="B6" i="12"/>
  <c r="B6" i="13"/>
  <c r="E57" i="3"/>
  <c r="F57" i="3"/>
  <c r="H57" i="3"/>
  <c r="E58" i="3"/>
  <c r="F58" i="3"/>
  <c r="H58" i="3"/>
  <c r="E59" i="3"/>
  <c r="F59" i="3"/>
  <c r="H59" i="3"/>
  <c r="E60" i="3"/>
  <c r="F60" i="3"/>
  <c r="H60" i="3"/>
  <c r="E61" i="3"/>
  <c r="F61" i="3"/>
  <c r="H61" i="3"/>
  <c r="E62" i="3"/>
  <c r="F62" i="3"/>
  <c r="H62" i="3"/>
  <c r="E63" i="3"/>
  <c r="F63" i="3"/>
  <c r="H63" i="3"/>
  <c r="E64" i="3"/>
  <c r="F64" i="3"/>
  <c r="H64" i="3"/>
  <c r="E65" i="3"/>
  <c r="F65" i="3"/>
  <c r="H65" i="3"/>
  <c r="E66" i="3"/>
  <c r="F66" i="3"/>
  <c r="H66" i="3"/>
  <c r="E67" i="3"/>
  <c r="F67" i="3"/>
  <c r="H67" i="3"/>
  <c r="E68" i="3"/>
  <c r="F68" i="3"/>
  <c r="H68" i="3"/>
  <c r="E69" i="3"/>
  <c r="F69" i="3"/>
  <c r="H69" i="3"/>
  <c r="E70" i="3"/>
  <c r="F70" i="3"/>
  <c r="H70" i="3"/>
  <c r="E71" i="3"/>
  <c r="F71" i="3"/>
  <c r="H71" i="3"/>
  <c r="E72" i="3"/>
  <c r="F72" i="3"/>
  <c r="H72" i="3"/>
  <c r="E73" i="3"/>
  <c r="F73" i="3"/>
  <c r="H73" i="3"/>
  <c r="E74" i="3"/>
  <c r="F74" i="3"/>
  <c r="H74" i="3"/>
  <c r="E75" i="3"/>
  <c r="F75" i="3"/>
  <c r="H75" i="3"/>
  <c r="E76" i="3"/>
  <c r="F76" i="3"/>
  <c r="H76" i="3"/>
  <c r="E77" i="3"/>
  <c r="F77" i="3"/>
  <c r="H77" i="3"/>
  <c r="E78" i="3"/>
  <c r="F78" i="3"/>
  <c r="H78" i="3"/>
  <c r="E79" i="3"/>
  <c r="F79" i="3"/>
  <c r="H79" i="3"/>
  <c r="E80" i="3"/>
  <c r="F80" i="3"/>
  <c r="H80" i="3"/>
  <c r="E81" i="3"/>
  <c r="F81" i="3"/>
  <c r="H81" i="3"/>
  <c r="E82" i="3"/>
  <c r="F82" i="3"/>
  <c r="H82" i="3"/>
  <c r="E83" i="3"/>
  <c r="F83" i="3"/>
  <c r="H83" i="3"/>
  <c r="E84" i="3"/>
  <c r="F84" i="3"/>
  <c r="H84" i="3"/>
  <c r="E85" i="3"/>
  <c r="F85" i="3"/>
  <c r="H85" i="3"/>
  <c r="E86" i="3"/>
  <c r="F86" i="3"/>
  <c r="H86" i="3"/>
  <c r="E87" i="3"/>
  <c r="F87" i="3"/>
  <c r="H87" i="3"/>
  <c r="E88" i="3"/>
  <c r="F88" i="3"/>
  <c r="H88" i="3"/>
  <c r="E89" i="3"/>
  <c r="F89" i="3"/>
  <c r="H89" i="3"/>
  <c r="E90" i="3"/>
  <c r="F90" i="3"/>
  <c r="H90" i="3"/>
  <c r="E91" i="3"/>
  <c r="F91" i="3"/>
  <c r="H91" i="3"/>
  <c r="E92" i="3"/>
  <c r="F92" i="3"/>
  <c r="H92" i="3"/>
  <c r="E93" i="3"/>
  <c r="F93" i="3"/>
  <c r="H93" i="3"/>
  <c r="E94" i="3"/>
  <c r="F94" i="3"/>
  <c r="H94" i="3"/>
  <c r="E95" i="3"/>
  <c r="F95" i="3"/>
  <c r="H95" i="3"/>
  <c r="E96" i="3"/>
  <c r="F96" i="3"/>
  <c r="H96" i="3"/>
  <c r="E97" i="3"/>
  <c r="F97" i="3"/>
  <c r="H97" i="3"/>
  <c r="E98" i="3"/>
  <c r="F98" i="3"/>
  <c r="H98" i="3"/>
  <c r="E99" i="3"/>
  <c r="F99" i="3"/>
  <c r="H99" i="3"/>
  <c r="E100" i="3"/>
  <c r="F100" i="3"/>
  <c r="H100" i="3"/>
  <c r="E101" i="3"/>
  <c r="F101" i="3"/>
  <c r="H101" i="3"/>
  <c r="E102" i="3"/>
  <c r="F102" i="3"/>
  <c r="H102" i="3"/>
  <c r="E103" i="3"/>
  <c r="F103" i="3"/>
  <c r="H103" i="3"/>
  <c r="E104" i="3"/>
  <c r="F104" i="3"/>
  <c r="H104" i="3"/>
  <c r="E105" i="3"/>
  <c r="F105" i="3"/>
  <c r="H105" i="3"/>
  <c r="E106" i="3"/>
  <c r="F106" i="3"/>
  <c r="H106" i="3"/>
  <c r="E107" i="3"/>
  <c r="F107" i="3"/>
  <c r="H107" i="3"/>
  <c r="E108" i="3"/>
  <c r="F108" i="3"/>
  <c r="H108" i="3"/>
  <c r="E109" i="3"/>
  <c r="F109" i="3"/>
  <c r="H109" i="3"/>
  <c r="E110" i="3"/>
  <c r="F110" i="3"/>
  <c r="H110" i="3"/>
  <c r="E111" i="3"/>
  <c r="F111" i="3"/>
  <c r="H111" i="3"/>
  <c r="E112" i="3"/>
  <c r="F112" i="3"/>
  <c r="H112" i="3"/>
  <c r="E113" i="3"/>
  <c r="F113" i="3"/>
  <c r="H113" i="3"/>
  <c r="E114" i="3"/>
  <c r="F114" i="3"/>
  <c r="H114" i="3"/>
  <c r="E115" i="3"/>
  <c r="F115" i="3"/>
  <c r="H115" i="3"/>
  <c r="E116" i="3"/>
  <c r="F116" i="3"/>
  <c r="H116" i="3"/>
  <c r="E117" i="3"/>
  <c r="F117" i="3"/>
  <c r="H117" i="3"/>
  <c r="E118" i="3"/>
  <c r="F118" i="3"/>
  <c r="H118" i="3"/>
  <c r="E119" i="3"/>
  <c r="F119" i="3"/>
  <c r="H119" i="3"/>
  <c r="E120" i="3"/>
  <c r="F120" i="3"/>
  <c r="H120" i="3"/>
  <c r="E121" i="3"/>
  <c r="F121" i="3"/>
  <c r="H121" i="3"/>
  <c r="E122" i="3"/>
  <c r="F122" i="3"/>
  <c r="H122" i="3"/>
  <c r="H18" i="14"/>
  <c r="F18" i="14"/>
  <c r="E18" i="14"/>
  <c r="H17" i="14"/>
  <c r="F17" i="14"/>
  <c r="E17" i="14"/>
  <c r="H16" i="14"/>
  <c r="F16" i="14"/>
  <c r="E16" i="14"/>
  <c r="H15" i="14"/>
  <c r="F15" i="14"/>
  <c r="E15" i="14"/>
  <c r="H14" i="14"/>
  <c r="F14" i="14"/>
  <c r="E14" i="14"/>
  <c r="H13" i="14"/>
  <c r="F13" i="14"/>
  <c r="E13" i="14"/>
  <c r="H12" i="14"/>
  <c r="F12" i="14"/>
  <c r="E12" i="14"/>
  <c r="H11" i="14"/>
  <c r="F11" i="14"/>
  <c r="E11" i="14"/>
  <c r="H9" i="14"/>
  <c r="F9" i="14"/>
  <c r="E9" i="14"/>
  <c r="H8" i="14"/>
  <c r="F8" i="14"/>
  <c r="H7" i="14"/>
  <c r="F7" i="14"/>
  <c r="E7" i="14"/>
  <c r="H6" i="14"/>
  <c r="F6" i="14"/>
  <c r="E6" i="14"/>
  <c r="H5" i="14"/>
  <c r="F5" i="14"/>
  <c r="E5" i="14"/>
  <c r="H4" i="14"/>
  <c r="F4" i="14"/>
  <c r="E4" i="14"/>
  <c r="H3" i="14"/>
  <c r="F3" i="14"/>
  <c r="E3" i="14"/>
  <c r="H56" i="3"/>
  <c r="F56" i="3"/>
  <c r="E56" i="3"/>
  <c r="H55" i="3"/>
  <c r="F55" i="3"/>
  <c r="E55" i="3"/>
  <c r="H54" i="3"/>
  <c r="F54" i="3"/>
  <c r="E54" i="3"/>
  <c r="H53" i="3"/>
  <c r="F53" i="3"/>
  <c r="E53" i="3"/>
  <c r="H52" i="3"/>
  <c r="F52" i="3"/>
  <c r="E52" i="3"/>
  <c r="H51" i="3"/>
  <c r="F51" i="3"/>
  <c r="E51" i="3"/>
  <c r="H50" i="3"/>
  <c r="F50" i="3"/>
  <c r="E50" i="3"/>
  <c r="H49" i="3"/>
  <c r="F49" i="3"/>
  <c r="E49" i="3"/>
  <c r="H48" i="3"/>
  <c r="F48" i="3"/>
  <c r="E48" i="3"/>
  <c r="H47" i="3"/>
  <c r="F47" i="3"/>
  <c r="E47" i="3"/>
  <c r="H46" i="3"/>
  <c r="F46" i="3"/>
  <c r="E46" i="3"/>
  <c r="H45" i="3"/>
  <c r="F45" i="3"/>
  <c r="E45" i="3"/>
  <c r="H44" i="3"/>
  <c r="F44" i="3"/>
  <c r="E44" i="3"/>
  <c r="H43" i="3"/>
  <c r="F43" i="3"/>
  <c r="E43" i="3"/>
  <c r="H42" i="3"/>
  <c r="F42" i="3"/>
  <c r="E42" i="3"/>
  <c r="H41" i="3"/>
  <c r="F41" i="3"/>
  <c r="E41" i="3"/>
  <c r="H40" i="3"/>
  <c r="F40" i="3"/>
  <c r="E40" i="3"/>
  <c r="H39" i="3"/>
  <c r="F39" i="3"/>
  <c r="E39" i="3"/>
  <c r="H38" i="3"/>
  <c r="F38" i="3"/>
  <c r="E38" i="3"/>
  <c r="H37" i="3"/>
  <c r="F37" i="3"/>
  <c r="E37" i="3"/>
  <c r="H36" i="3"/>
  <c r="F36" i="3"/>
  <c r="E36" i="3"/>
  <c r="H35" i="3"/>
  <c r="F35" i="3"/>
  <c r="E35" i="3"/>
  <c r="H34" i="3"/>
  <c r="F34" i="3"/>
  <c r="E34" i="3"/>
  <c r="H33" i="3"/>
  <c r="F33" i="3"/>
  <c r="E33" i="3"/>
  <c r="H32" i="3"/>
  <c r="F32" i="3"/>
  <c r="E32" i="3"/>
  <c r="H31" i="3"/>
  <c r="F31" i="3"/>
  <c r="E31" i="3"/>
  <c r="H30" i="3"/>
  <c r="F30" i="3"/>
  <c r="E30" i="3"/>
  <c r="H29" i="3"/>
  <c r="F29" i="3"/>
  <c r="E29" i="3"/>
  <c r="H28" i="3"/>
  <c r="F28" i="3"/>
  <c r="E28" i="3"/>
  <c r="H27" i="3"/>
  <c r="F27" i="3"/>
  <c r="E27" i="3"/>
  <c r="H26" i="3"/>
  <c r="F26" i="3"/>
  <c r="E26" i="3"/>
  <c r="H25" i="3"/>
  <c r="F25" i="3"/>
  <c r="E25" i="3"/>
  <c r="H24" i="3"/>
  <c r="F24" i="3"/>
  <c r="E24" i="3"/>
  <c r="H23" i="3"/>
  <c r="F23" i="3"/>
  <c r="E23" i="3"/>
  <c r="H22" i="3"/>
  <c r="F22" i="3"/>
  <c r="E22" i="3"/>
  <c r="H21" i="3"/>
  <c r="F21" i="3"/>
  <c r="E21" i="3"/>
  <c r="H20" i="3"/>
  <c r="F20" i="3"/>
  <c r="E20" i="3"/>
  <c r="H19" i="3"/>
  <c r="F19" i="3"/>
  <c r="E19" i="3"/>
  <c r="H18" i="3"/>
  <c r="F18" i="3"/>
  <c r="E18" i="3"/>
  <c r="H17" i="3"/>
  <c r="F17" i="3"/>
  <c r="E17" i="3"/>
  <c r="H16" i="3"/>
  <c r="F16" i="3"/>
  <c r="E16" i="3"/>
  <c r="H15" i="3"/>
  <c r="F15" i="3"/>
  <c r="E15" i="3"/>
  <c r="H14" i="3"/>
  <c r="F14" i="3"/>
  <c r="E14" i="3"/>
  <c r="H13" i="3"/>
  <c r="F13" i="3"/>
  <c r="E13" i="3"/>
  <c r="H12" i="3"/>
  <c r="F12" i="3"/>
  <c r="E12" i="3"/>
  <c r="H11" i="3"/>
  <c r="F11" i="3"/>
  <c r="E11" i="3"/>
  <c r="H10" i="3"/>
  <c r="F10" i="3"/>
  <c r="E10" i="3"/>
  <c r="H9" i="3"/>
  <c r="F9" i="3"/>
  <c r="E9" i="3"/>
  <c r="H8" i="3"/>
  <c r="F8" i="3"/>
  <c r="E8" i="3"/>
  <c r="H7" i="3"/>
  <c r="F7" i="3"/>
  <c r="E7" i="3"/>
  <c r="H6" i="3"/>
  <c r="F6" i="3"/>
  <c r="E6" i="3"/>
  <c r="H5" i="3"/>
  <c r="F5" i="3"/>
  <c r="E5" i="3"/>
  <c r="H4" i="3"/>
  <c r="F4" i="3"/>
  <c r="E4" i="3"/>
  <c r="H3" i="3"/>
  <c r="F3" i="3"/>
  <c r="E3" i="3"/>
  <c r="E4" i="10"/>
  <c r="F4" i="10"/>
  <c r="H4" i="10"/>
  <c r="E5" i="10"/>
  <c r="F5" i="10"/>
  <c r="H5" i="10"/>
  <c r="E6" i="10"/>
  <c r="F6" i="10"/>
  <c r="H6" i="10"/>
  <c r="E7" i="10"/>
  <c r="F7" i="10"/>
  <c r="H7" i="10"/>
  <c r="E8" i="10"/>
  <c r="F8" i="10"/>
  <c r="H8" i="10"/>
  <c r="E9" i="10"/>
  <c r="F9" i="10"/>
  <c r="H9" i="10"/>
  <c r="E10" i="10"/>
  <c r="F10" i="10"/>
  <c r="H10" i="10"/>
  <c r="E11" i="10"/>
  <c r="F11" i="10"/>
  <c r="H11" i="10"/>
  <c r="E12" i="10"/>
  <c r="F12" i="10"/>
  <c r="H12" i="10"/>
  <c r="E13" i="10"/>
  <c r="F13" i="10"/>
  <c r="H13" i="10"/>
  <c r="E14" i="10"/>
  <c r="F14" i="10"/>
  <c r="H14" i="10"/>
  <c r="E15" i="10"/>
  <c r="F15" i="10"/>
  <c r="H15" i="10"/>
  <c r="E16" i="10"/>
  <c r="F16" i="10"/>
  <c r="H16" i="10"/>
  <c r="E17" i="10"/>
  <c r="F17" i="10"/>
  <c r="H17" i="10"/>
  <c r="E18" i="10"/>
  <c r="F18" i="10"/>
  <c r="H18" i="10"/>
  <c r="E19" i="10"/>
  <c r="F19" i="10"/>
  <c r="H19" i="10"/>
  <c r="E20" i="10"/>
  <c r="F20" i="10"/>
  <c r="H20" i="10"/>
  <c r="E21" i="10"/>
  <c r="F21" i="10"/>
  <c r="H21" i="10"/>
  <c r="E22" i="10"/>
  <c r="F22" i="10"/>
  <c r="H22" i="10"/>
  <c r="E23" i="10"/>
  <c r="F23" i="10"/>
  <c r="H23" i="10"/>
  <c r="E24" i="10"/>
  <c r="F24" i="10"/>
  <c r="H24" i="10"/>
  <c r="E25" i="10"/>
  <c r="F25" i="10"/>
  <c r="H25" i="10"/>
  <c r="E26" i="10"/>
  <c r="F26" i="10"/>
  <c r="H26" i="10"/>
  <c r="E27" i="10"/>
  <c r="F27" i="10"/>
  <c r="H27" i="10"/>
  <c r="E28" i="10"/>
  <c r="F28" i="10"/>
  <c r="H28" i="10"/>
  <c r="E29" i="10"/>
  <c r="F29" i="10"/>
  <c r="H29" i="10"/>
  <c r="E30" i="10"/>
  <c r="F30" i="10"/>
  <c r="H30" i="10"/>
  <c r="E31" i="10"/>
  <c r="F31" i="10"/>
  <c r="H31" i="10"/>
  <c r="E32" i="10"/>
  <c r="F32" i="10"/>
  <c r="H32" i="10"/>
  <c r="E33" i="10"/>
  <c r="F33" i="10"/>
  <c r="H33" i="10"/>
  <c r="E34" i="10"/>
  <c r="F34" i="10"/>
  <c r="H34" i="10"/>
  <c r="E35" i="10"/>
  <c r="F35" i="10"/>
  <c r="H35" i="10"/>
  <c r="E36" i="10"/>
  <c r="F36" i="10"/>
  <c r="H36" i="10"/>
  <c r="E37" i="10"/>
  <c r="F37" i="10"/>
  <c r="H37" i="10"/>
  <c r="E38" i="10"/>
  <c r="F38" i="10"/>
  <c r="H38" i="10"/>
  <c r="E39" i="10"/>
  <c r="F39" i="10"/>
  <c r="H39" i="10"/>
  <c r="E40" i="10"/>
  <c r="F40" i="10"/>
  <c r="H40" i="10"/>
  <c r="E41" i="10"/>
  <c r="F41" i="10"/>
  <c r="H41" i="10"/>
  <c r="E42" i="10"/>
  <c r="F42" i="10"/>
  <c r="H42" i="10"/>
  <c r="E43" i="10"/>
  <c r="F43" i="10"/>
  <c r="H43" i="10"/>
  <c r="E44" i="10"/>
  <c r="F44" i="10"/>
  <c r="H44" i="10"/>
  <c r="E45" i="10"/>
  <c r="F45" i="10"/>
  <c r="H45" i="10"/>
  <c r="E46" i="10"/>
  <c r="F46" i="10"/>
  <c r="H46" i="10"/>
  <c r="E47" i="10"/>
  <c r="F47" i="10"/>
  <c r="H47" i="10"/>
  <c r="E48" i="10"/>
  <c r="F48" i="10"/>
  <c r="H48" i="10"/>
  <c r="E49" i="10"/>
  <c r="F49" i="10"/>
  <c r="H49" i="10"/>
  <c r="E50" i="10"/>
  <c r="F50" i="10"/>
  <c r="H50" i="10"/>
  <c r="E51" i="10"/>
  <c r="F51" i="10"/>
  <c r="H51" i="10"/>
  <c r="E52" i="10"/>
  <c r="F52" i="10"/>
  <c r="H52" i="10"/>
  <c r="E53" i="10"/>
  <c r="F53" i="10"/>
  <c r="H53" i="10"/>
  <c r="E54" i="10"/>
  <c r="F54" i="10"/>
  <c r="H54" i="10"/>
  <c r="E55" i="10"/>
  <c r="F55" i="10"/>
  <c r="H55" i="10"/>
  <c r="E56" i="10"/>
  <c r="F56" i="10"/>
  <c r="H56" i="10"/>
  <c r="E3" i="10"/>
  <c r="F3" i="10"/>
  <c r="M8" i="5"/>
  <c r="H3" i="10"/>
  <c r="E24" i="7" l="1"/>
  <c r="H16" i="7"/>
  <c r="C16" i="7"/>
  <c r="D16" i="7" s="1"/>
  <c r="E15" i="7"/>
  <c r="C13" i="7"/>
  <c r="D13" i="7" s="1"/>
  <c r="E8" i="7"/>
  <c r="I7" i="7"/>
  <c r="H7" i="7"/>
  <c r="G13" i="7"/>
  <c r="C9" i="7"/>
  <c r="D9" i="7" s="1"/>
  <c r="H25" i="7"/>
  <c r="I24" i="7"/>
  <c r="C20" i="7"/>
  <c r="D20" i="7" s="1"/>
  <c r="C17" i="7"/>
  <c r="D17" i="7" s="1"/>
  <c r="G16" i="7"/>
  <c r="I11" i="7"/>
  <c r="I8" i="7"/>
  <c r="C25" i="7"/>
  <c r="D25" i="7" s="1"/>
  <c r="H15" i="7"/>
  <c r="E11" i="7"/>
  <c r="G25" i="7"/>
  <c r="H24" i="7"/>
  <c r="C24" i="7"/>
  <c r="D24" i="7" s="1"/>
  <c r="C21" i="7"/>
  <c r="D21" i="7" s="1"/>
  <c r="E16" i="7"/>
  <c r="I15" i="7"/>
  <c r="H11" i="7"/>
  <c r="G9" i="7"/>
  <c r="H8" i="7"/>
  <c r="C8" i="7"/>
  <c r="D8" i="7" s="1"/>
  <c r="E7" i="7"/>
  <c r="G24" i="7"/>
  <c r="I16" i="7"/>
  <c r="C12" i="7"/>
  <c r="D12" i="7" s="1"/>
  <c r="G8" i="7"/>
  <c r="I14" i="7"/>
  <c r="J16" i="7"/>
  <c r="J9" i="7"/>
  <c r="C8" i="23"/>
  <c r="C12" i="23"/>
  <c r="C16" i="23"/>
  <c r="C20" i="23"/>
  <c r="C24" i="23"/>
  <c r="H9" i="7"/>
  <c r="C14" i="7"/>
  <c r="D14" i="7" s="1"/>
  <c r="C22" i="7"/>
  <c r="D22" i="7" s="1"/>
  <c r="I9" i="7"/>
  <c r="H14" i="7"/>
  <c r="C23" i="7"/>
  <c r="D23" i="7" s="1"/>
  <c r="E22" i="7"/>
  <c r="J8" i="7"/>
  <c r="I22" i="7"/>
  <c r="G11" i="7"/>
  <c r="C9" i="23"/>
  <c r="C13" i="23"/>
  <c r="C17" i="23"/>
  <c r="C21" i="23"/>
  <c r="C25" i="23"/>
  <c r="J14" i="7"/>
  <c r="C10" i="7"/>
  <c r="D10" i="7" s="1"/>
  <c r="G14" i="7"/>
  <c r="G22" i="7"/>
  <c r="C11" i="7"/>
  <c r="D11" i="7" s="1"/>
  <c r="C15" i="7"/>
  <c r="D15" i="7" s="1"/>
  <c r="J13" i="7"/>
  <c r="G7" i="7"/>
  <c r="J25" i="7"/>
  <c r="C10" i="23"/>
  <c r="C14" i="23"/>
  <c r="C18" i="23"/>
  <c r="C22" i="23"/>
  <c r="J22" i="7"/>
  <c r="J11" i="7"/>
  <c r="J15" i="7"/>
  <c r="C7" i="7"/>
  <c r="D7" i="7" s="1"/>
  <c r="E13" i="7"/>
  <c r="C19" i="7"/>
  <c r="D19" i="7" s="1"/>
  <c r="I25" i="7"/>
  <c r="G15" i="7"/>
  <c r="J24" i="7"/>
  <c r="C7" i="23"/>
  <c r="C11" i="23"/>
  <c r="C15" i="23"/>
  <c r="C19" i="23"/>
  <c r="C23" i="23"/>
  <c r="J7" i="7"/>
  <c r="H13" i="7"/>
  <c r="C18" i="7"/>
  <c r="D18" i="7" s="1"/>
  <c r="E9" i="7"/>
  <c r="I13" i="7"/>
  <c r="H22" i="7"/>
  <c r="E14" i="7"/>
  <c r="E25" i="7"/>
  <c r="G23" i="13"/>
  <c r="J20" i="13"/>
  <c r="G19" i="13"/>
  <c r="I18" i="13"/>
  <c r="I17" i="13"/>
  <c r="C15" i="13"/>
  <c r="D15" i="13" s="1"/>
  <c r="E14" i="13"/>
  <c r="E23" i="13"/>
  <c r="I21" i="13"/>
  <c r="E19" i="13"/>
  <c r="H18" i="13"/>
  <c r="E17" i="13"/>
  <c r="I10" i="13"/>
  <c r="C7" i="13"/>
  <c r="D7" i="13" s="1"/>
  <c r="I25" i="13"/>
  <c r="I23" i="13"/>
  <c r="C23" i="13"/>
  <c r="D23" i="13" s="1"/>
  <c r="E21" i="13"/>
  <c r="I19" i="13"/>
  <c r="C19" i="13"/>
  <c r="D19" i="13" s="1"/>
  <c r="E18" i="13"/>
  <c r="I14" i="13"/>
  <c r="I13" i="13"/>
  <c r="H10" i="13"/>
  <c r="G8" i="13"/>
  <c r="E25" i="13"/>
  <c r="H23" i="13"/>
  <c r="H19" i="13"/>
  <c r="H14" i="13"/>
  <c r="E13" i="13"/>
  <c r="C11" i="13"/>
  <c r="D11" i="13" s="1"/>
  <c r="E10" i="13"/>
  <c r="C8" i="13"/>
  <c r="D8" i="13" s="1"/>
  <c r="G18" i="13"/>
  <c r="E9" i="23"/>
  <c r="E25" i="23"/>
  <c r="E18" i="23"/>
  <c r="E11" i="23"/>
  <c r="G10" i="13"/>
  <c r="E12" i="23"/>
  <c r="H24" i="13"/>
  <c r="C16" i="13"/>
  <c r="D16" i="13" s="1"/>
  <c r="H8" i="13"/>
  <c r="H20" i="13"/>
  <c r="J17" i="13"/>
  <c r="C13" i="13"/>
  <c r="D13" i="13" s="1"/>
  <c r="G17" i="13"/>
  <c r="C25" i="13"/>
  <c r="D25" i="13" s="1"/>
  <c r="C18" i="13"/>
  <c r="D18" i="13" s="1"/>
  <c r="J19" i="13"/>
  <c r="E13" i="23"/>
  <c r="H17" i="13"/>
  <c r="E22" i="23"/>
  <c r="E15" i="23"/>
  <c r="H13" i="13"/>
  <c r="E16" i="23"/>
  <c r="C9" i="13"/>
  <c r="D9" i="13" s="1"/>
  <c r="G24" i="13"/>
  <c r="J24" i="13"/>
  <c r="J8" i="13"/>
  <c r="G20" i="13"/>
  <c r="J21" i="13"/>
  <c r="G13" i="13"/>
  <c r="J18" i="13"/>
  <c r="G25" i="13"/>
  <c r="C22" i="13"/>
  <c r="D22" i="13" s="1"/>
  <c r="H21" i="13"/>
  <c r="E17" i="23"/>
  <c r="E10" i="23"/>
  <c r="G14" i="13"/>
  <c r="E19" i="23"/>
  <c r="H25" i="13"/>
  <c r="E20" i="23"/>
  <c r="I24" i="13"/>
  <c r="C24" i="13"/>
  <c r="D24" i="13" s="1"/>
  <c r="I8" i="13"/>
  <c r="I20" i="13"/>
  <c r="C20" i="13"/>
  <c r="D20" i="13" s="1"/>
  <c r="J25" i="13"/>
  <c r="J14" i="13"/>
  <c r="C21" i="13"/>
  <c r="D21" i="13" s="1"/>
  <c r="C10" i="13"/>
  <c r="D10" i="13" s="1"/>
  <c r="J23" i="13"/>
  <c r="E21" i="23"/>
  <c r="E14" i="23"/>
  <c r="E7" i="23"/>
  <c r="E23" i="23"/>
  <c r="E8" i="23"/>
  <c r="E24" i="23"/>
  <c r="E24" i="13"/>
  <c r="C12" i="13"/>
  <c r="D12" i="13" s="1"/>
  <c r="E8" i="13"/>
  <c r="E20" i="13"/>
  <c r="J13" i="13"/>
  <c r="J10" i="13"/>
  <c r="C17" i="13"/>
  <c r="D17" i="13" s="1"/>
  <c r="G21" i="13"/>
  <c r="C14" i="13"/>
  <c r="D14" i="13" s="1"/>
  <c r="D25" i="23"/>
  <c r="D23" i="23"/>
  <c r="D21" i="23"/>
  <c r="D19" i="23"/>
  <c r="D17" i="23"/>
  <c r="D15" i="23"/>
  <c r="D13" i="23"/>
  <c r="D11" i="23"/>
  <c r="D9" i="23"/>
  <c r="D7" i="23"/>
  <c r="G25" i="12"/>
  <c r="E23" i="12"/>
  <c r="I19" i="12"/>
  <c r="C19" i="12"/>
  <c r="D19" i="12" s="1"/>
  <c r="G15" i="12"/>
  <c r="H14" i="12"/>
  <c r="E11" i="12"/>
  <c r="I9" i="12"/>
  <c r="G7" i="12"/>
  <c r="D16" i="23"/>
  <c r="D12" i="23"/>
  <c r="D8" i="23"/>
  <c r="C25" i="12"/>
  <c r="D25" i="12" s="1"/>
  <c r="I15" i="12"/>
  <c r="C13" i="12"/>
  <c r="D13" i="12" s="1"/>
  <c r="H11" i="12"/>
  <c r="E9" i="12"/>
  <c r="I7" i="12"/>
  <c r="H7" i="12"/>
  <c r="E25" i="12"/>
  <c r="I23" i="12"/>
  <c r="C23" i="12"/>
  <c r="D23" i="12" s="1"/>
  <c r="C21" i="12"/>
  <c r="D21" i="12" s="1"/>
  <c r="H19" i="12"/>
  <c r="E15" i="12"/>
  <c r="I11" i="12"/>
  <c r="C11" i="12"/>
  <c r="D11" i="12" s="1"/>
  <c r="G9" i="12"/>
  <c r="E7" i="12"/>
  <c r="D24" i="23"/>
  <c r="D22" i="23"/>
  <c r="D20" i="23"/>
  <c r="D18" i="23"/>
  <c r="D14" i="23"/>
  <c r="D10" i="23"/>
  <c r="H23" i="12"/>
  <c r="G19" i="12"/>
  <c r="C15" i="12"/>
  <c r="D15" i="12" s="1"/>
  <c r="C7" i="12"/>
  <c r="D7" i="12" s="1"/>
  <c r="I25" i="12"/>
  <c r="G23" i="12"/>
  <c r="H22" i="12"/>
  <c r="E19" i="12"/>
  <c r="C17" i="12"/>
  <c r="D17" i="12" s="1"/>
  <c r="H15" i="12"/>
  <c r="G11" i="12"/>
  <c r="C9" i="12"/>
  <c r="D9" i="12" s="1"/>
  <c r="J15" i="12"/>
  <c r="G8" i="12"/>
  <c r="J9" i="12"/>
  <c r="H8" i="12"/>
  <c r="H24" i="12"/>
  <c r="C10" i="12"/>
  <c r="D10" i="12" s="1"/>
  <c r="G14" i="12"/>
  <c r="E24" i="12"/>
  <c r="J24" i="12"/>
  <c r="C16" i="12"/>
  <c r="D16" i="12" s="1"/>
  <c r="I24" i="12"/>
  <c r="C20" i="12"/>
  <c r="D20" i="12" s="1"/>
  <c r="I12" i="12"/>
  <c r="C12" i="12"/>
  <c r="D12" i="12" s="1"/>
  <c r="E22" i="12"/>
  <c r="G24" i="12"/>
  <c r="J8" i="12"/>
  <c r="C14" i="12"/>
  <c r="D14" i="12" s="1"/>
  <c r="J12" i="12"/>
  <c r="C24" i="12"/>
  <c r="D24" i="12" s="1"/>
  <c r="J25" i="12"/>
  <c r="I14" i="12"/>
  <c r="G12" i="12"/>
  <c r="H12" i="12"/>
  <c r="E8" i="12"/>
  <c r="E12" i="12"/>
  <c r="C18" i="12"/>
  <c r="D18" i="12" s="1"/>
  <c r="C8" i="12"/>
  <c r="D8" i="12" s="1"/>
  <c r="C22" i="12"/>
  <c r="D22" i="12" s="1"/>
  <c r="J11" i="12"/>
  <c r="H9" i="12"/>
  <c r="E14" i="12"/>
  <c r="J7" i="12"/>
  <c r="J19" i="12"/>
  <c r="I22" i="12"/>
  <c r="J14" i="12"/>
  <c r="I8" i="12"/>
  <c r="H25" i="12"/>
  <c r="J23" i="12"/>
  <c r="J22" i="12"/>
  <c r="G22" i="12"/>
  <c r="AS123" i="3"/>
  <c r="Q128" i="3"/>
  <c r="AS126" i="3"/>
  <c r="AS125" i="3"/>
  <c r="J123" i="3"/>
  <c r="S123" i="3" s="1"/>
  <c r="AR123" i="3"/>
  <c r="D25" i="24"/>
  <c r="U123" i="3"/>
  <c r="U125" i="3"/>
  <c r="U126" i="3"/>
  <c r="J125" i="3"/>
  <c r="S125" i="3" s="1"/>
  <c r="AR125" i="3"/>
  <c r="Q123" i="3"/>
  <c r="Q125" i="3"/>
  <c r="Q126" i="3"/>
  <c r="AR126" i="3"/>
  <c r="J126" i="3"/>
  <c r="AS128" i="3"/>
  <c r="S124" i="3"/>
  <c r="T124" i="3" s="1"/>
  <c r="AS127" i="3"/>
  <c r="Q127" i="3"/>
  <c r="AA126" i="3"/>
  <c r="AA125" i="3"/>
  <c r="AA123" i="3"/>
  <c r="AR128" i="3"/>
  <c r="J128" i="3"/>
  <c r="J127" i="3"/>
  <c r="S127" i="3" s="1"/>
  <c r="AR127" i="3"/>
  <c r="K56" i="10"/>
  <c r="AM56" i="10"/>
  <c r="N56" i="10"/>
  <c r="P56" i="10" s="1"/>
  <c r="AA52" i="10"/>
  <c r="K52" i="10"/>
  <c r="AM52" i="10"/>
  <c r="X52" i="10"/>
  <c r="N52" i="10"/>
  <c r="P52" i="10" s="1"/>
  <c r="AG52" i="10"/>
  <c r="U52" i="10"/>
  <c r="AD52" i="10"/>
  <c r="R52" i="10"/>
  <c r="AM48" i="10"/>
  <c r="N48" i="10"/>
  <c r="P48" i="10" s="1"/>
  <c r="K48" i="10"/>
  <c r="M48" i="10" s="1"/>
  <c r="K44" i="10"/>
  <c r="M44" i="10" s="1"/>
  <c r="AM44" i="10"/>
  <c r="N44" i="10"/>
  <c r="P44" i="10" s="1"/>
  <c r="AM40" i="10"/>
  <c r="N40" i="10"/>
  <c r="P40" i="10" s="1"/>
  <c r="K40" i="10"/>
  <c r="M40" i="10" s="1"/>
  <c r="K36" i="10"/>
  <c r="M36" i="10" s="1"/>
  <c r="AM36" i="10"/>
  <c r="N36" i="10"/>
  <c r="P36" i="10" s="1"/>
  <c r="K32" i="10"/>
  <c r="M32" i="10" s="1"/>
  <c r="AM32" i="10"/>
  <c r="N32" i="10"/>
  <c r="P32" i="10" s="1"/>
  <c r="K28" i="10"/>
  <c r="M28" i="10" s="1"/>
  <c r="AM28" i="10"/>
  <c r="N28" i="10"/>
  <c r="P28" i="10" s="1"/>
  <c r="K24" i="10"/>
  <c r="M24" i="10" s="1"/>
  <c r="AM24" i="10"/>
  <c r="N24" i="10"/>
  <c r="P24" i="10" s="1"/>
  <c r="K20" i="10"/>
  <c r="M20" i="10" s="1"/>
  <c r="AM20" i="10"/>
  <c r="N20" i="10"/>
  <c r="P20" i="10" s="1"/>
  <c r="K16" i="10"/>
  <c r="M16" i="10" s="1"/>
  <c r="AM16" i="10"/>
  <c r="N16" i="10"/>
  <c r="P16" i="10" s="1"/>
  <c r="AD12" i="10"/>
  <c r="R12" i="10"/>
  <c r="K12" i="10"/>
  <c r="M12" i="10" s="1"/>
  <c r="AM12" i="10"/>
  <c r="AN12" i="10" s="1"/>
  <c r="X12" i="10"/>
  <c r="N12" i="10"/>
  <c r="P12" i="10" s="1"/>
  <c r="U12" i="10"/>
  <c r="AG12" i="10"/>
  <c r="AA12" i="10"/>
  <c r="K8" i="10"/>
  <c r="M8" i="10" s="1"/>
  <c r="AM8" i="10"/>
  <c r="N8" i="10"/>
  <c r="P8" i="10" s="1"/>
  <c r="N4" i="10"/>
  <c r="P4" i="10" s="1"/>
  <c r="AM4" i="10"/>
  <c r="K4" i="10"/>
  <c r="M4" i="10" s="1"/>
  <c r="AD4" i="14"/>
  <c r="K4" i="14"/>
  <c r="M4" i="14" s="1"/>
  <c r="AM4" i="14"/>
  <c r="X4" i="14"/>
  <c r="N4" i="14"/>
  <c r="P4" i="14" s="1"/>
  <c r="N8" i="14"/>
  <c r="P8" i="14" s="1"/>
  <c r="AD8" i="14"/>
  <c r="AM8" i="14"/>
  <c r="K8" i="14"/>
  <c r="M8" i="14" s="1"/>
  <c r="X8" i="14"/>
  <c r="AM12" i="14"/>
  <c r="X12" i="14"/>
  <c r="N12" i="14"/>
  <c r="P12" i="14" s="1"/>
  <c r="U12" i="14"/>
  <c r="K12" i="14"/>
  <c r="M12" i="14" s="1"/>
  <c r="AM16" i="14"/>
  <c r="N16" i="14"/>
  <c r="P16" i="14" s="1"/>
  <c r="X16" i="14"/>
  <c r="K16" i="14"/>
  <c r="M16" i="14" s="1"/>
  <c r="AD3" i="10"/>
  <c r="U3" i="10"/>
  <c r="AH3" i="10"/>
  <c r="AG3" i="10"/>
  <c r="R3" i="10"/>
  <c r="K3" i="10"/>
  <c r="M3" i="10" s="1"/>
  <c r="AA3" i="10"/>
  <c r="AM3" i="10"/>
  <c r="AN3" i="10" s="1"/>
  <c r="X3" i="10"/>
  <c r="N3" i="10"/>
  <c r="P3" i="10" s="1"/>
  <c r="AM53" i="10"/>
  <c r="N53" i="10"/>
  <c r="P53" i="10" s="1"/>
  <c r="K53" i="10"/>
  <c r="K49" i="10"/>
  <c r="M49" i="10" s="1"/>
  <c r="AM49" i="10"/>
  <c r="N49" i="10"/>
  <c r="P49" i="10" s="1"/>
  <c r="AD45" i="10"/>
  <c r="AA45" i="10"/>
  <c r="AM45" i="10"/>
  <c r="AM41" i="10"/>
  <c r="N41" i="10"/>
  <c r="P41" i="10" s="1"/>
  <c r="K41" i="10"/>
  <c r="M41" i="10" s="1"/>
  <c r="K37" i="10"/>
  <c r="M37" i="10" s="1"/>
  <c r="AM37" i="10"/>
  <c r="N37" i="10"/>
  <c r="P37" i="10" s="1"/>
  <c r="K33" i="10"/>
  <c r="M33" i="10" s="1"/>
  <c r="AM33" i="10"/>
  <c r="N33" i="10"/>
  <c r="P33" i="10" s="1"/>
  <c r="K29" i="10"/>
  <c r="M29" i="10" s="1"/>
  <c r="AM29" i="10"/>
  <c r="N29" i="10"/>
  <c r="P29" i="10" s="1"/>
  <c r="K25" i="10"/>
  <c r="M25" i="10" s="1"/>
  <c r="AM25" i="10"/>
  <c r="N25" i="10"/>
  <c r="P25" i="10" s="1"/>
  <c r="K21" i="10"/>
  <c r="M21" i="10" s="1"/>
  <c r="AM21" i="10"/>
  <c r="N21" i="10"/>
  <c r="P21" i="10" s="1"/>
  <c r="K17" i="10"/>
  <c r="M17" i="10" s="1"/>
  <c r="AM17" i="10"/>
  <c r="N17" i="10"/>
  <c r="P17" i="10" s="1"/>
  <c r="K13" i="10"/>
  <c r="M13" i="10" s="1"/>
  <c r="AM13" i="10"/>
  <c r="N13" i="10"/>
  <c r="P13" i="10" s="1"/>
  <c r="K9" i="10"/>
  <c r="M9" i="10" s="1"/>
  <c r="AM9" i="10"/>
  <c r="N9" i="10"/>
  <c r="P9" i="10" s="1"/>
  <c r="K5" i="10"/>
  <c r="M5" i="10" s="1"/>
  <c r="AM5" i="10"/>
  <c r="N5" i="10"/>
  <c r="P5" i="10" s="1"/>
  <c r="J6" i="13"/>
  <c r="I6" i="13"/>
  <c r="H6" i="13"/>
  <c r="G6" i="13"/>
  <c r="K3" i="14"/>
  <c r="M3" i="14" s="1"/>
  <c r="X3" i="14"/>
  <c r="N3" i="14"/>
  <c r="P3" i="14" s="1"/>
  <c r="AM3" i="14"/>
  <c r="AD3" i="14"/>
  <c r="AM7" i="14"/>
  <c r="K7" i="14"/>
  <c r="M7" i="14" s="1"/>
  <c r="X7" i="14"/>
  <c r="N7" i="14"/>
  <c r="P7" i="14" s="1"/>
  <c r="U11" i="14"/>
  <c r="AM11" i="14"/>
  <c r="N11" i="14"/>
  <c r="P11" i="14" s="1"/>
  <c r="X11" i="14"/>
  <c r="K11" i="14"/>
  <c r="M11" i="14" s="1"/>
  <c r="K15" i="14"/>
  <c r="M15" i="14" s="1"/>
  <c r="AM15" i="14"/>
  <c r="X15" i="14"/>
  <c r="N15" i="14"/>
  <c r="P15" i="14" s="1"/>
  <c r="X54" i="10"/>
  <c r="N54" i="10"/>
  <c r="P54" i="10" s="1"/>
  <c r="AG54" i="10"/>
  <c r="U54" i="10"/>
  <c r="AD54" i="10"/>
  <c r="R54" i="10"/>
  <c r="AM54" i="10"/>
  <c r="AA54" i="10"/>
  <c r="K54" i="10"/>
  <c r="AD50" i="10"/>
  <c r="AM50" i="10"/>
  <c r="AA50" i="10"/>
  <c r="K46" i="10"/>
  <c r="M46" i="10" s="1"/>
  <c r="AM46" i="10"/>
  <c r="N46" i="10"/>
  <c r="P46" i="10" s="1"/>
  <c r="N42" i="10"/>
  <c r="P42" i="10" s="1"/>
  <c r="K42" i="10"/>
  <c r="M42" i="10" s="1"/>
  <c r="AM42" i="10"/>
  <c r="AD38" i="10"/>
  <c r="R38" i="10"/>
  <c r="AM38" i="10"/>
  <c r="AA38" i="10"/>
  <c r="K38" i="10"/>
  <c r="M38" i="10" s="1"/>
  <c r="X38" i="10"/>
  <c r="N38" i="10"/>
  <c r="P38" i="10" s="1"/>
  <c r="AG38" i="10"/>
  <c r="U38" i="10"/>
  <c r="AM34" i="10"/>
  <c r="N34" i="10"/>
  <c r="P34" i="10" s="1"/>
  <c r="K34" i="10"/>
  <c r="M34" i="10" s="1"/>
  <c r="AM30" i="10"/>
  <c r="N30" i="10"/>
  <c r="P30" i="10" s="1"/>
  <c r="K30" i="10"/>
  <c r="M30" i="10" s="1"/>
  <c r="AM26" i="10"/>
  <c r="N26" i="10"/>
  <c r="P26" i="10" s="1"/>
  <c r="K26" i="10"/>
  <c r="M26" i="10" s="1"/>
  <c r="K22" i="10"/>
  <c r="M22" i="10" s="1"/>
  <c r="AM22" i="10"/>
  <c r="N22" i="10"/>
  <c r="P22" i="10" s="1"/>
  <c r="K18" i="10"/>
  <c r="M18" i="10" s="1"/>
  <c r="AM18" i="10"/>
  <c r="N18" i="10"/>
  <c r="P18" i="10" s="1"/>
  <c r="K14" i="10"/>
  <c r="M14" i="10" s="1"/>
  <c r="AM14" i="10"/>
  <c r="N14" i="10"/>
  <c r="P14" i="10" s="1"/>
  <c r="AM10" i="10"/>
  <c r="K10" i="10"/>
  <c r="M10" i="10" s="1"/>
  <c r="N10" i="10"/>
  <c r="P10" i="10" s="1"/>
  <c r="K6" i="10"/>
  <c r="M6" i="10" s="1"/>
  <c r="AM6" i="10"/>
  <c r="N6" i="10"/>
  <c r="P6" i="10" s="1"/>
  <c r="K6" i="14"/>
  <c r="M6" i="14" s="1"/>
  <c r="AM6" i="14"/>
  <c r="X6" i="14"/>
  <c r="N6" i="14"/>
  <c r="P6" i="14" s="1"/>
  <c r="K14" i="14"/>
  <c r="M14" i="14" s="1"/>
  <c r="U14" i="14"/>
  <c r="N14" i="14"/>
  <c r="P14" i="14" s="1"/>
  <c r="AM14" i="14"/>
  <c r="X14" i="14"/>
  <c r="K18" i="14"/>
  <c r="M18" i="14" s="1"/>
  <c r="X18" i="14"/>
  <c r="N18" i="14"/>
  <c r="P18" i="14" s="1"/>
  <c r="AM18" i="14"/>
  <c r="AG55" i="10"/>
  <c r="U55" i="10"/>
  <c r="AD55" i="10"/>
  <c r="R55" i="10"/>
  <c r="K55" i="10"/>
  <c r="AA55" i="10"/>
  <c r="AM55" i="10"/>
  <c r="X55" i="10"/>
  <c r="N55" i="10"/>
  <c r="P55" i="10" s="1"/>
  <c r="AM51" i="10"/>
  <c r="N51" i="10"/>
  <c r="P51" i="10" s="1"/>
  <c r="K51" i="10"/>
  <c r="AM47" i="10"/>
  <c r="N47" i="10"/>
  <c r="P47" i="10" s="1"/>
  <c r="K47" i="10"/>
  <c r="M47" i="10" s="1"/>
  <c r="K43" i="10"/>
  <c r="M43" i="10" s="1"/>
  <c r="AM43" i="10"/>
  <c r="N43" i="10"/>
  <c r="P43" i="10" s="1"/>
  <c r="AA39" i="10"/>
  <c r="AM39" i="10"/>
  <c r="X39" i="10"/>
  <c r="N39" i="10"/>
  <c r="P39" i="10" s="1"/>
  <c r="AG39" i="10"/>
  <c r="U39" i="10"/>
  <c r="AD39" i="10"/>
  <c r="R39" i="10"/>
  <c r="K39" i="10"/>
  <c r="M39" i="10" s="1"/>
  <c r="AM35" i="10"/>
  <c r="N35" i="10"/>
  <c r="P35" i="10" s="1"/>
  <c r="K35" i="10"/>
  <c r="M35" i="10" s="1"/>
  <c r="N31" i="10"/>
  <c r="P31" i="10" s="1"/>
  <c r="K31" i="10"/>
  <c r="M31" i="10" s="1"/>
  <c r="AM31" i="10"/>
  <c r="N27" i="10"/>
  <c r="P27" i="10" s="1"/>
  <c r="AM27" i="10"/>
  <c r="K27" i="10"/>
  <c r="M27" i="10" s="1"/>
  <c r="K23" i="10"/>
  <c r="M23" i="10" s="1"/>
  <c r="AM23" i="10"/>
  <c r="N23" i="10"/>
  <c r="P23" i="10" s="1"/>
  <c r="K19" i="10"/>
  <c r="M19" i="10" s="1"/>
  <c r="AM19" i="10"/>
  <c r="N19" i="10"/>
  <c r="P19" i="10" s="1"/>
  <c r="K15" i="10"/>
  <c r="M15" i="10" s="1"/>
  <c r="AM15" i="10"/>
  <c r="N15" i="10"/>
  <c r="P15" i="10" s="1"/>
  <c r="K11" i="10"/>
  <c r="M11" i="10" s="1"/>
  <c r="AM11" i="10"/>
  <c r="N11" i="10"/>
  <c r="P11" i="10" s="1"/>
  <c r="K7" i="10"/>
  <c r="M7" i="10" s="1"/>
  <c r="AM7" i="10"/>
  <c r="N7" i="10"/>
  <c r="P7" i="10" s="1"/>
  <c r="J6" i="7"/>
  <c r="H6" i="7"/>
  <c r="G6" i="7"/>
  <c r="I6" i="7"/>
  <c r="X5" i="14"/>
  <c r="N5" i="14"/>
  <c r="P5" i="14" s="1"/>
  <c r="AM5" i="14"/>
  <c r="K5" i="14"/>
  <c r="M5" i="14" s="1"/>
  <c r="K9" i="14"/>
  <c r="M9" i="14" s="1"/>
  <c r="AM9" i="14"/>
  <c r="X9" i="14"/>
  <c r="N9" i="14"/>
  <c r="P9" i="14" s="1"/>
  <c r="U9" i="14"/>
  <c r="X13" i="14"/>
  <c r="N13" i="14"/>
  <c r="P13" i="14" s="1"/>
  <c r="AM13" i="14"/>
  <c r="K13" i="14"/>
  <c r="M13" i="14" s="1"/>
  <c r="N17" i="14"/>
  <c r="P17" i="14" s="1"/>
  <c r="AM17" i="14"/>
  <c r="X17" i="14"/>
  <c r="K17" i="14"/>
  <c r="M17" i="14" s="1"/>
  <c r="R4" i="3"/>
  <c r="AD4" i="3"/>
  <c r="U4" i="3"/>
  <c r="AG4" i="3"/>
  <c r="X4" i="3"/>
  <c r="AA4" i="3"/>
  <c r="AM4" i="3"/>
  <c r="AA8" i="3"/>
  <c r="R8" i="3"/>
  <c r="AD8" i="3"/>
  <c r="AG8" i="3"/>
  <c r="AM8" i="3"/>
  <c r="U8" i="3"/>
  <c r="X8" i="3"/>
  <c r="X12" i="3"/>
  <c r="AM12" i="3"/>
  <c r="AA12" i="3"/>
  <c r="R12" i="3"/>
  <c r="U12" i="3"/>
  <c r="AD12" i="3"/>
  <c r="AG12" i="3"/>
  <c r="AM16" i="3"/>
  <c r="U114" i="3"/>
  <c r="AG114" i="3"/>
  <c r="X114" i="3"/>
  <c r="AM114" i="3"/>
  <c r="R114" i="3"/>
  <c r="AA114" i="3"/>
  <c r="AD114" i="3"/>
  <c r="X102" i="3"/>
  <c r="AM102" i="3"/>
  <c r="AA102" i="3"/>
  <c r="AD102" i="3"/>
  <c r="AG102" i="3"/>
  <c r="R102" i="3"/>
  <c r="U102" i="3"/>
  <c r="AA98" i="3"/>
  <c r="AD98" i="3"/>
  <c r="U98" i="3"/>
  <c r="X98" i="3"/>
  <c r="AM98" i="3"/>
  <c r="AA94" i="3"/>
  <c r="AD94" i="3"/>
  <c r="U94" i="3"/>
  <c r="X94" i="3"/>
  <c r="AM94" i="3"/>
  <c r="AA90" i="3"/>
  <c r="R90" i="3"/>
  <c r="AD90" i="3"/>
  <c r="U90" i="3"/>
  <c r="AG90" i="3"/>
  <c r="AM90" i="3"/>
  <c r="X90" i="3"/>
  <c r="X86" i="3"/>
  <c r="AM86" i="3"/>
  <c r="AA86" i="3"/>
  <c r="AD86" i="3"/>
  <c r="R86" i="3"/>
  <c r="AG86" i="3"/>
  <c r="U86" i="3"/>
  <c r="X82" i="3"/>
  <c r="AM82" i="3"/>
  <c r="AD82" i="3"/>
  <c r="U82" i="3"/>
  <c r="R82" i="3"/>
  <c r="AG82" i="3"/>
  <c r="AA82" i="3"/>
  <c r="X78" i="3"/>
  <c r="AM78" i="3"/>
  <c r="R78" i="3"/>
  <c r="AG78" i="3"/>
  <c r="U78" i="3"/>
  <c r="AA78" i="3"/>
  <c r="AD78" i="3"/>
  <c r="X74" i="3"/>
  <c r="AM74" i="3"/>
  <c r="AA74" i="3"/>
  <c r="AD74" i="3"/>
  <c r="U74" i="3"/>
  <c r="AA58" i="3"/>
  <c r="R58" i="3"/>
  <c r="AD58" i="3"/>
  <c r="AG58" i="3"/>
  <c r="U58" i="3"/>
  <c r="AM58" i="3"/>
  <c r="X58" i="3"/>
  <c r="X11" i="3"/>
  <c r="AA11" i="3"/>
  <c r="AM11" i="3"/>
  <c r="R11" i="3"/>
  <c r="U11" i="3"/>
  <c r="AD11" i="3"/>
  <c r="AG11" i="3"/>
  <c r="AM15" i="3"/>
  <c r="AM19" i="3"/>
  <c r="X39" i="3"/>
  <c r="AM39" i="3"/>
  <c r="AA39" i="3"/>
  <c r="R39" i="3"/>
  <c r="U39" i="3"/>
  <c r="AD39" i="3"/>
  <c r="AG39" i="3"/>
  <c r="R55" i="3"/>
  <c r="AD55" i="3"/>
  <c r="U55" i="3"/>
  <c r="AG55" i="3"/>
  <c r="X55" i="3"/>
  <c r="AM55" i="3"/>
  <c r="AA55" i="3"/>
  <c r="U119" i="3"/>
  <c r="AG119" i="3"/>
  <c r="X119" i="3"/>
  <c r="AM119" i="3"/>
  <c r="AA119" i="3"/>
  <c r="AD119" i="3"/>
  <c r="R119" i="3"/>
  <c r="X115" i="3"/>
  <c r="AM115" i="3"/>
  <c r="AA115" i="3"/>
  <c r="R115" i="3"/>
  <c r="U115" i="3"/>
  <c r="AD115" i="3"/>
  <c r="AG115" i="3"/>
  <c r="R95" i="3"/>
  <c r="AD95" i="3"/>
  <c r="U95" i="3"/>
  <c r="AG95" i="3"/>
  <c r="AM95" i="3"/>
  <c r="X95" i="3"/>
  <c r="AA95" i="3"/>
  <c r="R91" i="3"/>
  <c r="AD91" i="3"/>
  <c r="U91" i="3"/>
  <c r="AG91" i="3"/>
  <c r="X91" i="3"/>
  <c r="AM91" i="3"/>
  <c r="AA91" i="3"/>
  <c r="AA87" i="3"/>
  <c r="U87" i="3"/>
  <c r="AM87" i="3"/>
  <c r="X87" i="3"/>
  <c r="AD87" i="3"/>
  <c r="R87" i="3"/>
  <c r="AG87" i="3"/>
  <c r="AA83" i="3"/>
  <c r="X83" i="3"/>
  <c r="AG83" i="3"/>
  <c r="AD83" i="3"/>
  <c r="R83" i="3"/>
  <c r="AM83" i="3"/>
  <c r="U83" i="3"/>
  <c r="AM71" i="3"/>
  <c r="R63" i="3"/>
  <c r="AD63" i="3"/>
  <c r="U63" i="3"/>
  <c r="AG63" i="3"/>
  <c r="X63" i="3"/>
  <c r="AA63" i="3"/>
  <c r="AM63" i="3"/>
  <c r="R59" i="3"/>
  <c r="AD59" i="3"/>
  <c r="U59" i="3"/>
  <c r="AG59" i="3"/>
  <c r="AM59" i="3"/>
  <c r="X59" i="3"/>
  <c r="AA59" i="3"/>
  <c r="U30" i="3"/>
  <c r="AG30" i="3"/>
  <c r="X30" i="3"/>
  <c r="AM30" i="3"/>
  <c r="R30" i="3"/>
  <c r="AA30" i="3"/>
  <c r="AD30" i="3"/>
  <c r="U34" i="3"/>
  <c r="AG34" i="3"/>
  <c r="X34" i="3"/>
  <c r="AM34" i="3"/>
  <c r="AA34" i="3"/>
  <c r="AD34" i="3"/>
  <c r="R34" i="3"/>
  <c r="U38" i="3"/>
  <c r="AG38" i="3"/>
  <c r="X38" i="3"/>
  <c r="AM38" i="3"/>
  <c r="R38" i="3"/>
  <c r="AA38" i="3"/>
  <c r="AD38" i="3"/>
  <c r="U42" i="3"/>
  <c r="AG42" i="3"/>
  <c r="X42" i="3"/>
  <c r="AM42" i="3"/>
  <c r="AA42" i="3"/>
  <c r="AD42" i="3"/>
  <c r="R42" i="3"/>
  <c r="U46" i="3"/>
  <c r="AG46" i="3"/>
  <c r="X46" i="3"/>
  <c r="AM46" i="3"/>
  <c r="R46" i="3"/>
  <c r="AA46" i="3"/>
  <c r="AD46" i="3"/>
  <c r="AM50" i="3"/>
  <c r="AA54" i="3"/>
  <c r="R54" i="3"/>
  <c r="AD54" i="3"/>
  <c r="U54" i="3"/>
  <c r="AG54" i="3"/>
  <c r="X54" i="3"/>
  <c r="AM54" i="3"/>
  <c r="X120" i="3"/>
  <c r="AM120" i="3"/>
  <c r="AA120" i="3"/>
  <c r="AD120" i="3"/>
  <c r="AG120" i="3"/>
  <c r="U120" i="3"/>
  <c r="R120" i="3"/>
  <c r="AA116" i="3"/>
  <c r="R116" i="3"/>
  <c r="AD116" i="3"/>
  <c r="U116" i="3"/>
  <c r="X116" i="3"/>
  <c r="AG116" i="3"/>
  <c r="AM116" i="3"/>
  <c r="AA112" i="3"/>
  <c r="R112" i="3"/>
  <c r="AD112" i="3"/>
  <c r="AG112" i="3"/>
  <c r="AM112" i="3"/>
  <c r="U112" i="3"/>
  <c r="X112" i="3"/>
  <c r="AM108" i="3"/>
  <c r="R104" i="3"/>
  <c r="AD104" i="3"/>
  <c r="U104" i="3"/>
  <c r="AG104" i="3"/>
  <c r="AM104" i="3"/>
  <c r="AA104" i="3"/>
  <c r="X104" i="3"/>
  <c r="R100" i="3"/>
  <c r="AD100" i="3"/>
  <c r="U100" i="3"/>
  <c r="AG100" i="3"/>
  <c r="X100" i="3"/>
  <c r="AA100" i="3"/>
  <c r="AM100" i="3"/>
  <c r="U96" i="3"/>
  <c r="AG96" i="3"/>
  <c r="X96" i="3"/>
  <c r="AM96" i="3"/>
  <c r="R96" i="3"/>
  <c r="AA96" i="3"/>
  <c r="AD96" i="3"/>
  <c r="U92" i="3"/>
  <c r="AG92" i="3"/>
  <c r="X92" i="3"/>
  <c r="AM92" i="3"/>
  <c r="AA92" i="3"/>
  <c r="R92" i="3"/>
  <c r="AD92" i="3"/>
  <c r="R88" i="3"/>
  <c r="AD88" i="3"/>
  <c r="AG88" i="3"/>
  <c r="U88" i="3"/>
  <c r="AM88" i="3"/>
  <c r="X88" i="3"/>
  <c r="AA88" i="3"/>
  <c r="R84" i="3"/>
  <c r="AD84" i="3"/>
  <c r="U84" i="3"/>
  <c r="AM84" i="3"/>
  <c r="X84" i="3"/>
  <c r="AA84" i="3"/>
  <c r="AG84" i="3"/>
  <c r="R80" i="3"/>
  <c r="AD80" i="3"/>
  <c r="X80" i="3"/>
  <c r="AA80" i="3"/>
  <c r="AG80" i="3"/>
  <c r="AM80" i="3"/>
  <c r="U80" i="3"/>
  <c r="R76" i="3"/>
  <c r="AD76" i="3"/>
  <c r="AA76" i="3"/>
  <c r="AM76" i="3"/>
  <c r="AG76" i="3"/>
  <c r="U76" i="3"/>
  <c r="X76" i="3"/>
  <c r="AM72" i="3"/>
  <c r="AM68" i="3"/>
  <c r="U64" i="3"/>
  <c r="AG64" i="3"/>
  <c r="X64" i="3"/>
  <c r="AM64" i="3"/>
  <c r="AA64" i="3"/>
  <c r="AD64" i="3"/>
  <c r="R64" i="3"/>
  <c r="U60" i="3"/>
  <c r="AG60" i="3"/>
  <c r="X60" i="3"/>
  <c r="AM60" i="3"/>
  <c r="R60" i="3"/>
  <c r="AA60" i="3"/>
  <c r="AD60" i="3"/>
  <c r="AM20" i="3"/>
  <c r="AM24" i="3"/>
  <c r="U28" i="3"/>
  <c r="AM28" i="3"/>
  <c r="X28" i="3"/>
  <c r="AA32" i="3"/>
  <c r="R32" i="3"/>
  <c r="AD32" i="3"/>
  <c r="U32" i="3"/>
  <c r="X32" i="3"/>
  <c r="AG32" i="3"/>
  <c r="AM32" i="3"/>
  <c r="AA36" i="3"/>
  <c r="R36" i="3"/>
  <c r="AD36" i="3"/>
  <c r="AG36" i="3"/>
  <c r="AM36" i="3"/>
  <c r="U36" i="3"/>
  <c r="X36" i="3"/>
  <c r="AA40" i="3"/>
  <c r="R40" i="3"/>
  <c r="AD40" i="3"/>
  <c r="U40" i="3"/>
  <c r="X40" i="3"/>
  <c r="AG40" i="3"/>
  <c r="AM40" i="3"/>
  <c r="AA44" i="3"/>
  <c r="AD44" i="3"/>
  <c r="AM44" i="3"/>
  <c r="U44" i="3"/>
  <c r="X44" i="3"/>
  <c r="AA48" i="3"/>
  <c r="R48" i="3"/>
  <c r="AD48" i="3"/>
  <c r="U48" i="3"/>
  <c r="X48" i="3"/>
  <c r="AG48" i="3"/>
  <c r="AM48" i="3"/>
  <c r="U52" i="3"/>
  <c r="AG52" i="3"/>
  <c r="X52" i="3"/>
  <c r="AM52" i="3"/>
  <c r="AA52" i="3"/>
  <c r="R52" i="3"/>
  <c r="AD52" i="3"/>
  <c r="U56" i="3"/>
  <c r="AG56" i="3"/>
  <c r="X56" i="3"/>
  <c r="AM56" i="3"/>
  <c r="AA56" i="3"/>
  <c r="AD56" i="3"/>
  <c r="R56" i="3"/>
  <c r="R122" i="3"/>
  <c r="AD122" i="3"/>
  <c r="AG122" i="3"/>
  <c r="U122" i="3"/>
  <c r="AM122" i="3"/>
  <c r="X122" i="3"/>
  <c r="AA122" i="3"/>
  <c r="U118" i="3"/>
  <c r="AG118" i="3"/>
  <c r="X118" i="3"/>
  <c r="AM118" i="3"/>
  <c r="AA118" i="3"/>
  <c r="R118" i="3"/>
  <c r="AD118" i="3"/>
  <c r="X110" i="3"/>
  <c r="AM110" i="3"/>
  <c r="AN110" i="3" s="1"/>
  <c r="AA110" i="3"/>
  <c r="AD110" i="3"/>
  <c r="U110" i="3"/>
  <c r="AG110" i="3"/>
  <c r="R110" i="3"/>
  <c r="X106" i="3"/>
  <c r="AM106" i="3"/>
  <c r="AA106" i="3"/>
  <c r="R106" i="3"/>
  <c r="U106" i="3"/>
  <c r="AG106" i="3"/>
  <c r="AD106" i="3"/>
  <c r="AM70" i="3"/>
  <c r="AM66" i="3"/>
  <c r="AA62" i="3"/>
  <c r="R62" i="3"/>
  <c r="AD62" i="3"/>
  <c r="U62" i="3"/>
  <c r="AG62" i="3"/>
  <c r="X62" i="3"/>
  <c r="AM62" i="3"/>
  <c r="X7" i="3"/>
  <c r="AM7" i="3"/>
  <c r="AA7" i="3"/>
  <c r="AD7" i="3"/>
  <c r="AG7" i="3"/>
  <c r="R7" i="3"/>
  <c r="U7" i="3"/>
  <c r="AM23" i="3"/>
  <c r="AA27" i="3"/>
  <c r="AD27" i="3"/>
  <c r="AM27" i="3"/>
  <c r="U27" i="3"/>
  <c r="X27" i="3"/>
  <c r="X31" i="3"/>
  <c r="AM31" i="3"/>
  <c r="AA31" i="3"/>
  <c r="R31" i="3"/>
  <c r="U31" i="3"/>
  <c r="AD31" i="3"/>
  <c r="AG31" i="3"/>
  <c r="X35" i="3"/>
  <c r="AM35" i="3"/>
  <c r="AA35" i="3"/>
  <c r="AD35" i="3"/>
  <c r="AG35" i="3"/>
  <c r="R35" i="3"/>
  <c r="U35" i="3"/>
  <c r="X43" i="3"/>
  <c r="AM43" i="3"/>
  <c r="AA43" i="3"/>
  <c r="AD43" i="3"/>
  <c r="U43" i="3"/>
  <c r="X47" i="3"/>
  <c r="AM47" i="3"/>
  <c r="AA47" i="3"/>
  <c r="R47" i="3"/>
  <c r="U47" i="3"/>
  <c r="AD47" i="3"/>
  <c r="AG47" i="3"/>
  <c r="X51" i="3"/>
  <c r="AA51" i="3"/>
  <c r="AD51" i="3"/>
  <c r="AG51" i="3"/>
  <c r="AM51" i="3"/>
  <c r="R51" i="3"/>
  <c r="U51" i="3"/>
  <c r="X111" i="3"/>
  <c r="AM111" i="3"/>
  <c r="AA111" i="3"/>
  <c r="AD111" i="3"/>
  <c r="AG111" i="3"/>
  <c r="R111" i="3"/>
  <c r="U111" i="3"/>
  <c r="AA107" i="3"/>
  <c r="R107" i="3"/>
  <c r="AD107" i="3"/>
  <c r="U107" i="3"/>
  <c r="X107" i="3"/>
  <c r="AG107" i="3"/>
  <c r="AM107" i="3"/>
  <c r="AA103" i="3"/>
  <c r="R103" i="3"/>
  <c r="AD103" i="3"/>
  <c r="AG103" i="3"/>
  <c r="U103" i="3"/>
  <c r="X103" i="3"/>
  <c r="AM103" i="3"/>
  <c r="R99" i="3"/>
  <c r="AD99" i="3"/>
  <c r="U99" i="3"/>
  <c r="AG99" i="3"/>
  <c r="X99" i="3"/>
  <c r="AM99" i="3"/>
  <c r="AA99" i="3"/>
  <c r="AA79" i="3"/>
  <c r="AD79" i="3"/>
  <c r="AM79" i="3"/>
  <c r="R79" i="3"/>
  <c r="AG79" i="3"/>
  <c r="U79" i="3"/>
  <c r="X79" i="3"/>
  <c r="AA75" i="3"/>
  <c r="AD75" i="3"/>
  <c r="U75" i="3"/>
  <c r="AM75" i="3"/>
  <c r="X75" i="3"/>
  <c r="AM67" i="3"/>
  <c r="AA3" i="3"/>
  <c r="U6" i="3"/>
  <c r="AG6" i="3"/>
  <c r="X6" i="3"/>
  <c r="AM6" i="3"/>
  <c r="AA6" i="3"/>
  <c r="AD6" i="3"/>
  <c r="R6" i="3"/>
  <c r="U10" i="3"/>
  <c r="AG10" i="3"/>
  <c r="X10" i="3"/>
  <c r="AM10" i="3"/>
  <c r="AN10" i="3" s="1"/>
  <c r="R10" i="3"/>
  <c r="AA10" i="3"/>
  <c r="AD10" i="3"/>
  <c r="R14" i="3"/>
  <c r="AD14" i="3"/>
  <c r="U14" i="3"/>
  <c r="AG14" i="3"/>
  <c r="X14" i="3"/>
  <c r="AA14" i="3"/>
  <c r="AM14" i="3"/>
  <c r="AM18" i="3"/>
  <c r="AM22" i="3"/>
  <c r="X26" i="3"/>
  <c r="AM26" i="3"/>
  <c r="AA26" i="3"/>
  <c r="AD26" i="3"/>
  <c r="U26" i="3"/>
  <c r="R5" i="3"/>
  <c r="AD5" i="3"/>
  <c r="U5" i="3"/>
  <c r="AG5" i="3"/>
  <c r="X5" i="3"/>
  <c r="AA5" i="3"/>
  <c r="AM5" i="3"/>
  <c r="R9" i="3"/>
  <c r="AD9" i="3"/>
  <c r="U9" i="3"/>
  <c r="AG9" i="3"/>
  <c r="AM9" i="3"/>
  <c r="X9" i="3"/>
  <c r="AA9" i="3"/>
  <c r="AA13" i="3"/>
  <c r="R13" i="3"/>
  <c r="AD13" i="3"/>
  <c r="U13" i="3"/>
  <c r="X13" i="3"/>
  <c r="AG13" i="3"/>
  <c r="AM13" i="3"/>
  <c r="AM17" i="3"/>
  <c r="AM21" i="3"/>
  <c r="U25" i="3"/>
  <c r="X25" i="3"/>
  <c r="AM25" i="3"/>
  <c r="AA25" i="3"/>
  <c r="AD25" i="3"/>
  <c r="U29" i="3"/>
  <c r="AM29" i="3"/>
  <c r="X29" i="3"/>
  <c r="R33" i="3"/>
  <c r="AD33" i="3"/>
  <c r="U33" i="3"/>
  <c r="AG33" i="3"/>
  <c r="X33" i="3"/>
  <c r="AA33" i="3"/>
  <c r="AM33" i="3"/>
  <c r="R37" i="3"/>
  <c r="AD37" i="3"/>
  <c r="U37" i="3"/>
  <c r="AG37" i="3"/>
  <c r="AM37" i="3"/>
  <c r="X37" i="3"/>
  <c r="AA37" i="3"/>
  <c r="R41" i="3"/>
  <c r="AD41" i="3"/>
  <c r="U41" i="3"/>
  <c r="AG41" i="3"/>
  <c r="X41" i="3"/>
  <c r="AA41" i="3"/>
  <c r="AM41" i="3"/>
  <c r="R45" i="3"/>
  <c r="AD45" i="3"/>
  <c r="U45" i="3"/>
  <c r="AG45" i="3"/>
  <c r="AM45" i="3"/>
  <c r="X45" i="3"/>
  <c r="AA45" i="3"/>
  <c r="R49" i="3"/>
  <c r="AD49" i="3"/>
  <c r="U49" i="3"/>
  <c r="AG49" i="3"/>
  <c r="X49" i="3"/>
  <c r="AA49" i="3"/>
  <c r="AM49" i="3"/>
  <c r="X53" i="3"/>
  <c r="AM53" i="3"/>
  <c r="AA53" i="3"/>
  <c r="R53" i="3"/>
  <c r="U53" i="3"/>
  <c r="AD53" i="3"/>
  <c r="AG53" i="3"/>
  <c r="AA121" i="3"/>
  <c r="R121" i="3"/>
  <c r="AD121" i="3"/>
  <c r="AG121" i="3"/>
  <c r="AM121" i="3"/>
  <c r="U121" i="3"/>
  <c r="X121" i="3"/>
  <c r="R117" i="3"/>
  <c r="AD117" i="3"/>
  <c r="U117" i="3"/>
  <c r="AG117" i="3"/>
  <c r="X117" i="3"/>
  <c r="AA117" i="3"/>
  <c r="AM117" i="3"/>
  <c r="R113" i="3"/>
  <c r="AD113" i="3"/>
  <c r="AG113" i="3"/>
  <c r="U113" i="3"/>
  <c r="AM113" i="3"/>
  <c r="AA113" i="3"/>
  <c r="X113" i="3"/>
  <c r="U109" i="3"/>
  <c r="AG109" i="3"/>
  <c r="X109" i="3"/>
  <c r="AM109" i="3"/>
  <c r="AA109" i="3"/>
  <c r="AD109" i="3"/>
  <c r="R109" i="3"/>
  <c r="U105" i="3"/>
  <c r="AG105" i="3"/>
  <c r="X105" i="3"/>
  <c r="AM105" i="3"/>
  <c r="R105" i="3"/>
  <c r="AA105" i="3"/>
  <c r="AD105" i="3"/>
  <c r="U101" i="3"/>
  <c r="AG101" i="3"/>
  <c r="X101" i="3"/>
  <c r="AM101" i="3"/>
  <c r="AA101" i="3"/>
  <c r="AD101" i="3"/>
  <c r="R101" i="3"/>
  <c r="X97" i="3"/>
  <c r="AM97" i="3"/>
  <c r="AA97" i="3"/>
  <c r="R97" i="3"/>
  <c r="AD97" i="3"/>
  <c r="AG97" i="3"/>
  <c r="U97" i="3"/>
  <c r="X93" i="3"/>
  <c r="AM93" i="3"/>
  <c r="AA93" i="3"/>
  <c r="AD93" i="3"/>
  <c r="AG93" i="3"/>
  <c r="R93" i="3"/>
  <c r="U93" i="3"/>
  <c r="X89" i="3"/>
  <c r="AM89" i="3"/>
  <c r="AA89" i="3"/>
  <c r="R89" i="3"/>
  <c r="U89" i="3"/>
  <c r="AD89" i="3"/>
  <c r="AG89" i="3"/>
  <c r="U85" i="3"/>
  <c r="AG85" i="3"/>
  <c r="AD85" i="3"/>
  <c r="R85" i="3"/>
  <c r="AM85" i="3"/>
  <c r="X85" i="3"/>
  <c r="AA85" i="3"/>
  <c r="U81" i="3"/>
  <c r="AG81" i="3"/>
  <c r="R81" i="3"/>
  <c r="AM81" i="3"/>
  <c r="AA81" i="3"/>
  <c r="X81" i="3"/>
  <c r="AD81" i="3"/>
  <c r="U77" i="3"/>
  <c r="AG77" i="3"/>
  <c r="X77" i="3"/>
  <c r="AD77" i="3"/>
  <c r="AA77" i="3"/>
  <c r="AM77" i="3"/>
  <c r="R77" i="3"/>
  <c r="X73" i="3"/>
  <c r="AM73" i="3"/>
  <c r="AA73" i="3"/>
  <c r="AD73" i="3"/>
  <c r="U73" i="3"/>
  <c r="AM69" i="3"/>
  <c r="AM65" i="3"/>
  <c r="X61" i="3"/>
  <c r="AM61" i="3"/>
  <c r="AA61" i="3"/>
  <c r="R61" i="3"/>
  <c r="AD61" i="3"/>
  <c r="U61" i="3"/>
  <c r="AG61" i="3"/>
  <c r="X57" i="3"/>
  <c r="AM57" i="3"/>
  <c r="AA57" i="3"/>
  <c r="AD57" i="3"/>
  <c r="AG57" i="3"/>
  <c r="R57" i="3"/>
  <c r="U57" i="3"/>
  <c r="E11" i="24"/>
  <c r="E10" i="24"/>
  <c r="F12" i="24"/>
  <c r="E12" i="24"/>
  <c r="F25" i="24"/>
  <c r="E24" i="24"/>
  <c r="G22" i="24"/>
  <c r="AD3" i="3"/>
  <c r="E18" i="24"/>
  <c r="I11" i="5"/>
  <c r="V11" i="11"/>
  <c r="J12" i="5"/>
  <c r="H12" i="5"/>
  <c r="AG43" i="3" s="1"/>
  <c r="C11" i="5"/>
  <c r="U4" i="14" s="1"/>
  <c r="J11" i="5"/>
  <c r="R4" i="14" s="1"/>
  <c r="E11" i="5"/>
  <c r="F11" i="24" s="1"/>
  <c r="U11" i="11"/>
  <c r="G20" i="5"/>
  <c r="I12" i="5"/>
  <c r="H11" i="5"/>
  <c r="AG3" i="14" s="1"/>
  <c r="G22" i="5"/>
  <c r="H18" i="5"/>
  <c r="AG14" i="14" s="1"/>
  <c r="I18" i="5"/>
  <c r="F18" i="5"/>
  <c r="G18" i="24" s="1"/>
  <c r="J18" i="5"/>
  <c r="E18" i="5"/>
  <c r="F18" i="24" s="1"/>
  <c r="H19" i="5"/>
  <c r="I19" i="5"/>
  <c r="D19" i="5"/>
  <c r="X50" i="3" s="1"/>
  <c r="C19" i="5"/>
  <c r="D19" i="24" s="1"/>
  <c r="J19" i="5"/>
  <c r="R8" i="10" s="1"/>
  <c r="E19" i="5"/>
  <c r="AA50" i="3" s="1"/>
  <c r="F19" i="5"/>
  <c r="G24" i="5"/>
  <c r="E26" i="5"/>
  <c r="F26" i="24" s="1"/>
  <c r="F26" i="5"/>
  <c r="G26" i="24" s="1"/>
  <c r="H26" i="5"/>
  <c r="H26" i="24"/>
  <c r="I26" i="5"/>
  <c r="I26" i="24"/>
  <c r="J26" i="24"/>
  <c r="J26" i="5"/>
  <c r="H14" i="5"/>
  <c r="AG12" i="14" s="1"/>
  <c r="I14" i="5"/>
  <c r="J14" i="5"/>
  <c r="R29" i="3" s="1"/>
  <c r="F14" i="5"/>
  <c r="G14" i="24" s="1"/>
  <c r="E14" i="5"/>
  <c r="F14" i="24" s="1"/>
  <c r="I15" i="5"/>
  <c r="D15" i="5"/>
  <c r="X49" i="10" s="1"/>
  <c r="J15" i="5"/>
  <c r="R10" i="10" s="1"/>
  <c r="E15" i="5"/>
  <c r="F15" i="24" s="1"/>
  <c r="F15" i="5"/>
  <c r="G15" i="24" s="1"/>
  <c r="C15" i="5"/>
  <c r="D15" i="24" s="1"/>
  <c r="H15" i="5"/>
  <c r="AG37" i="10" s="1"/>
  <c r="H10" i="5"/>
  <c r="AG9" i="14" s="1"/>
  <c r="E10" i="5"/>
  <c r="F10" i="24" s="1"/>
  <c r="F10" i="5"/>
  <c r="G10" i="24" s="1"/>
  <c r="I10" i="5"/>
  <c r="J10" i="5"/>
  <c r="G16" i="5"/>
  <c r="H17" i="24"/>
  <c r="H17" i="5"/>
  <c r="I17" i="5"/>
  <c r="I17" i="24" s="1"/>
  <c r="E17" i="5"/>
  <c r="F17" i="24" s="1"/>
  <c r="F17" i="5"/>
  <c r="G17" i="24" s="1"/>
  <c r="C17" i="5"/>
  <c r="D17" i="24" s="1"/>
  <c r="J17" i="5"/>
  <c r="R18" i="14" s="1"/>
  <c r="J17" i="24"/>
  <c r="I13" i="24"/>
  <c r="I13" i="5"/>
  <c r="J13" i="5"/>
  <c r="J13" i="24" s="1"/>
  <c r="F13" i="5"/>
  <c r="G13" i="24" s="1"/>
  <c r="H13" i="24"/>
  <c r="H13" i="5"/>
  <c r="AG7" i="14" s="1"/>
  <c r="E13" i="5"/>
  <c r="F13" i="24" s="1"/>
  <c r="C13" i="5"/>
  <c r="D13" i="24" s="1"/>
  <c r="F9" i="5"/>
  <c r="G9" i="24" s="1"/>
  <c r="C9" i="5"/>
  <c r="D9" i="24" s="1"/>
  <c r="H9" i="5"/>
  <c r="AG15" i="14" s="1"/>
  <c r="H9" i="24"/>
  <c r="E9" i="5"/>
  <c r="F9" i="24" s="1"/>
  <c r="I9" i="5"/>
  <c r="I9" i="24" s="1"/>
  <c r="J9" i="5"/>
  <c r="J9" i="24" s="1"/>
  <c r="P31" i="11"/>
  <c r="C31" i="24" s="1"/>
  <c r="V19" i="11"/>
  <c r="U19" i="11"/>
  <c r="U10" i="11"/>
  <c r="V10" i="11"/>
  <c r="U8" i="11"/>
  <c r="V8" i="11"/>
  <c r="V9" i="11"/>
  <c r="U9" i="11"/>
  <c r="L9" i="24" s="1"/>
  <c r="U26" i="11"/>
  <c r="L26" i="24" s="1"/>
  <c r="V26" i="11"/>
  <c r="U12" i="11"/>
  <c r="V12" i="11"/>
  <c r="M28" i="11"/>
  <c r="O30" i="11"/>
  <c r="C30" i="24" s="1"/>
  <c r="V13" i="11"/>
  <c r="U13" i="11"/>
  <c r="L13" i="24" s="1"/>
  <c r="U18" i="11"/>
  <c r="V18" i="11"/>
  <c r="V17" i="11"/>
  <c r="U17" i="11"/>
  <c r="L17" i="24" s="1"/>
  <c r="U14" i="11"/>
  <c r="V14" i="11"/>
  <c r="V15" i="11"/>
  <c r="U15" i="11"/>
  <c r="L8" i="5"/>
  <c r="N50" i="10" s="1"/>
  <c r="P50" i="10" s="1"/>
  <c r="K8" i="5"/>
  <c r="K50" i="10" s="1"/>
  <c r="M50" i="10" s="1"/>
  <c r="Y10" i="14" l="1"/>
  <c r="Z10" i="14" s="1"/>
  <c r="F13" i="13"/>
  <c r="F14" i="13"/>
  <c r="F18" i="13"/>
  <c r="F16" i="7"/>
  <c r="F7" i="7"/>
  <c r="F25" i="7"/>
  <c r="F15" i="7"/>
  <c r="F22" i="7"/>
  <c r="F24" i="7"/>
  <c r="F9" i="7"/>
  <c r="F8" i="7"/>
  <c r="F11" i="7"/>
  <c r="F14" i="7"/>
  <c r="F13" i="7"/>
  <c r="F10" i="13"/>
  <c r="F17" i="13"/>
  <c r="F19" i="13"/>
  <c r="F24" i="13"/>
  <c r="F21" i="13"/>
  <c r="F25" i="13"/>
  <c r="F20" i="13"/>
  <c r="F8" i="13"/>
  <c r="F23" i="13"/>
  <c r="F9" i="12"/>
  <c r="F12" i="12"/>
  <c r="F14" i="12"/>
  <c r="F11" i="12"/>
  <c r="F25" i="12"/>
  <c r="F8" i="12"/>
  <c r="F23" i="12"/>
  <c r="F19" i="12"/>
  <c r="F7" i="12"/>
  <c r="F15" i="12"/>
  <c r="F22" i="12"/>
  <c r="F24" i="12"/>
  <c r="T123" i="3"/>
  <c r="AD24" i="10"/>
  <c r="AG20" i="10"/>
  <c r="T125" i="3"/>
  <c r="S126" i="3"/>
  <c r="T126" i="3" s="1"/>
  <c r="T127" i="3"/>
  <c r="R28" i="10"/>
  <c r="AA70" i="3"/>
  <c r="U24" i="3"/>
  <c r="AA108" i="3"/>
  <c r="R50" i="3"/>
  <c r="U50" i="3"/>
  <c r="R26" i="10"/>
  <c r="U28" i="10"/>
  <c r="AG108" i="3"/>
  <c r="U26" i="10"/>
  <c r="U72" i="3"/>
  <c r="U108" i="3"/>
  <c r="AG26" i="10"/>
  <c r="U70" i="3"/>
  <c r="R108" i="3"/>
  <c r="AG50" i="3"/>
  <c r="U71" i="3"/>
  <c r="AA14" i="14"/>
  <c r="R14" i="14"/>
  <c r="AG16" i="14"/>
  <c r="AG18" i="14"/>
  <c r="U18" i="14"/>
  <c r="U16" i="14"/>
  <c r="U17" i="14"/>
  <c r="AA43" i="10"/>
  <c r="U43" i="10"/>
  <c r="AG53" i="10"/>
  <c r="AA36" i="10"/>
  <c r="U44" i="10"/>
  <c r="R44" i="10"/>
  <c r="AG43" i="10"/>
  <c r="U42" i="10"/>
  <c r="R36" i="10"/>
  <c r="AG44" i="10"/>
  <c r="R43" i="10"/>
  <c r="R42" i="10"/>
  <c r="AG42" i="10"/>
  <c r="R53" i="10"/>
  <c r="U36" i="10"/>
  <c r="AA32" i="10"/>
  <c r="AD43" i="10"/>
  <c r="AD42" i="10"/>
  <c r="U53" i="10"/>
  <c r="AA53" i="10"/>
  <c r="AG36" i="10"/>
  <c r="AG29" i="3"/>
  <c r="AH11" i="14"/>
  <c r="AA12" i="14"/>
  <c r="AA29" i="3"/>
  <c r="R11" i="14"/>
  <c r="AD29" i="3"/>
  <c r="AA28" i="3"/>
  <c r="AD28" i="3"/>
  <c r="AG11" i="14"/>
  <c r="AA11" i="14"/>
  <c r="R12" i="14"/>
  <c r="AD11" i="14"/>
  <c r="R7" i="14"/>
  <c r="R8" i="14"/>
  <c r="R13" i="14"/>
  <c r="U13" i="14"/>
  <c r="N45" i="10"/>
  <c r="P45" i="10" s="1"/>
  <c r="K45" i="10"/>
  <c r="M45" i="10" s="1"/>
  <c r="X24" i="3"/>
  <c r="AD108" i="3"/>
  <c r="X72" i="3"/>
  <c r="X108" i="3"/>
  <c r="AA17" i="14"/>
  <c r="AD13" i="14"/>
  <c r="AD26" i="10"/>
  <c r="AA71" i="3"/>
  <c r="X22" i="10"/>
  <c r="X71" i="3"/>
  <c r="X44" i="10"/>
  <c r="X70" i="3"/>
  <c r="X26" i="10"/>
  <c r="AD44" i="10"/>
  <c r="AD24" i="3"/>
  <c r="AD72" i="3"/>
  <c r="AD71" i="3"/>
  <c r="AD18" i="14"/>
  <c r="AA42" i="10"/>
  <c r="AD53" i="10"/>
  <c r="X53" i="10"/>
  <c r="X28" i="10"/>
  <c r="X36" i="10"/>
  <c r="AD70" i="3"/>
  <c r="AA24" i="3"/>
  <c r="AA72" i="3"/>
  <c r="AD50" i="3"/>
  <c r="AD17" i="14"/>
  <c r="AA13" i="14"/>
  <c r="X43" i="10"/>
  <c r="AA18" i="14"/>
  <c r="AD14" i="14"/>
  <c r="AA26" i="10"/>
  <c r="X42" i="10"/>
  <c r="AD12" i="14"/>
  <c r="AA8" i="14"/>
  <c r="AD36" i="10"/>
  <c r="AA44" i="10"/>
  <c r="S128" i="3"/>
  <c r="T128" i="3" s="1"/>
  <c r="AG44" i="3"/>
  <c r="AG73" i="3"/>
  <c r="R75" i="3"/>
  <c r="AG74" i="3"/>
  <c r="AG98" i="3"/>
  <c r="R98" i="3"/>
  <c r="R73" i="3"/>
  <c r="AG75" i="3"/>
  <c r="R44" i="3"/>
  <c r="R74" i="3"/>
  <c r="AD5" i="14"/>
  <c r="AD7" i="14"/>
  <c r="U7" i="14"/>
  <c r="AA7" i="14"/>
  <c r="U8" i="14"/>
  <c r="AG8" i="14"/>
  <c r="R68" i="3"/>
  <c r="R16" i="3"/>
  <c r="X65" i="3"/>
  <c r="AD15" i="10"/>
  <c r="AD22" i="10"/>
  <c r="AD15" i="14"/>
  <c r="AD4" i="10"/>
  <c r="X67" i="3"/>
  <c r="X23" i="3"/>
  <c r="AD19" i="3"/>
  <c r="X16" i="3"/>
  <c r="X15" i="10"/>
  <c r="X8" i="10"/>
  <c r="X17" i="3"/>
  <c r="X19" i="10"/>
  <c r="AD8" i="10"/>
  <c r="AD21" i="3"/>
  <c r="AD67" i="3"/>
  <c r="X19" i="3"/>
  <c r="AD15" i="3"/>
  <c r="U65" i="3"/>
  <c r="U15" i="3"/>
  <c r="U20" i="3"/>
  <c r="U5" i="14"/>
  <c r="U15" i="10"/>
  <c r="U14" i="10"/>
  <c r="U18" i="10"/>
  <c r="U22" i="10"/>
  <c r="U9" i="10"/>
  <c r="U69" i="3"/>
  <c r="U33" i="10"/>
  <c r="R20" i="3"/>
  <c r="R7" i="10"/>
  <c r="R30" i="10"/>
  <c r="R16" i="10"/>
  <c r="R22" i="3"/>
  <c r="R19" i="10"/>
  <c r="R17" i="10"/>
  <c r="R65" i="3"/>
  <c r="R69" i="3"/>
  <c r="R21" i="3"/>
  <c r="R23" i="3"/>
  <c r="R66" i="3"/>
  <c r="R5" i="10"/>
  <c r="R32" i="10"/>
  <c r="AG22" i="3"/>
  <c r="AG69" i="3"/>
  <c r="AG21" i="3"/>
  <c r="AG17" i="3"/>
  <c r="AG7" i="10"/>
  <c r="AG5" i="10"/>
  <c r="AG67" i="3"/>
  <c r="AG68" i="3"/>
  <c r="AG24" i="10"/>
  <c r="AA18" i="3"/>
  <c r="AA24" i="10"/>
  <c r="X32" i="10"/>
  <c r="AA40" i="10"/>
  <c r="U40" i="10"/>
  <c r="AG65" i="3"/>
  <c r="AD69" i="3"/>
  <c r="X69" i="3"/>
  <c r="U21" i="3"/>
  <c r="X21" i="3"/>
  <c r="AD17" i="3"/>
  <c r="X22" i="3"/>
  <c r="AA22" i="3"/>
  <c r="AG18" i="3"/>
  <c r="R67" i="3"/>
  <c r="AG23" i="3"/>
  <c r="U66" i="3"/>
  <c r="AA66" i="3"/>
  <c r="AA68" i="3"/>
  <c r="U68" i="3"/>
  <c r="R19" i="3"/>
  <c r="AA15" i="3"/>
  <c r="AD16" i="3"/>
  <c r="AG16" i="3"/>
  <c r="AD7" i="10"/>
  <c r="X7" i="10"/>
  <c r="AA15" i="10"/>
  <c r="U19" i="10"/>
  <c r="AD19" i="10"/>
  <c r="X23" i="10"/>
  <c r="R23" i="10"/>
  <c r="AA31" i="10"/>
  <c r="U31" i="10"/>
  <c r="U6" i="10"/>
  <c r="R14" i="10"/>
  <c r="AG18" i="10"/>
  <c r="AG22" i="10"/>
  <c r="AA22" i="10"/>
  <c r="AD30" i="10"/>
  <c r="X30" i="10"/>
  <c r="AD5" i="10"/>
  <c r="X5" i="10"/>
  <c r="R9" i="10"/>
  <c r="AG9" i="10"/>
  <c r="U17" i="10"/>
  <c r="X17" i="10"/>
  <c r="AD17" i="10"/>
  <c r="X21" i="10"/>
  <c r="R21" i="10"/>
  <c r="R33" i="10"/>
  <c r="AG33" i="10"/>
  <c r="AA33" i="10"/>
  <c r="AG4" i="10"/>
  <c r="X4" i="10"/>
  <c r="AA8" i="10"/>
  <c r="AA16" i="10"/>
  <c r="X16" i="10"/>
  <c r="AD16" i="10"/>
  <c r="X20" i="10"/>
  <c r="R20" i="10"/>
  <c r="U32" i="10"/>
  <c r="AD32" i="10"/>
  <c r="R40" i="10"/>
  <c r="AG40" i="10"/>
  <c r="U17" i="3"/>
  <c r="AA17" i="3"/>
  <c r="U22" i="3"/>
  <c r="X18" i="3"/>
  <c r="AD18" i="3"/>
  <c r="U23" i="3"/>
  <c r="AG66" i="3"/>
  <c r="AD20" i="3"/>
  <c r="X20" i="3"/>
  <c r="AG19" i="3"/>
  <c r="R15" i="3"/>
  <c r="X15" i="3"/>
  <c r="AA16" i="3"/>
  <c r="U16" i="3"/>
  <c r="AA7" i="10"/>
  <c r="AG15" i="10"/>
  <c r="AG19" i="10"/>
  <c r="AA19" i="10"/>
  <c r="U23" i="10"/>
  <c r="AD23" i="10"/>
  <c r="X31" i="10"/>
  <c r="R31" i="10"/>
  <c r="AG31" i="10"/>
  <c r="R6" i="10"/>
  <c r="AG6" i="10"/>
  <c r="AA14" i="10"/>
  <c r="X14" i="10"/>
  <c r="AD14" i="10"/>
  <c r="R18" i="10"/>
  <c r="U30" i="10"/>
  <c r="AA5" i="10"/>
  <c r="AD9" i="10"/>
  <c r="X9" i="10"/>
  <c r="AA17" i="10"/>
  <c r="U21" i="10"/>
  <c r="AD21" i="10"/>
  <c r="AD33" i="10"/>
  <c r="X33" i="10"/>
  <c r="AA4" i="10"/>
  <c r="AH4" i="10"/>
  <c r="U8" i="10"/>
  <c r="AG16" i="10"/>
  <c r="U20" i="10"/>
  <c r="AD20" i="10"/>
  <c r="X24" i="10"/>
  <c r="R24" i="10"/>
  <c r="AG32" i="10"/>
  <c r="AD40" i="10"/>
  <c r="X40" i="10"/>
  <c r="AA65" i="3"/>
  <c r="AA6" i="10"/>
  <c r="AD65" i="3"/>
  <c r="AA69" i="3"/>
  <c r="AA21" i="3"/>
  <c r="R17" i="3"/>
  <c r="AD22" i="3"/>
  <c r="U18" i="3"/>
  <c r="R18" i="3"/>
  <c r="AA67" i="3"/>
  <c r="U67" i="3"/>
  <c r="AA23" i="3"/>
  <c r="AD23" i="3"/>
  <c r="X66" i="3"/>
  <c r="AD66" i="3"/>
  <c r="AA20" i="3"/>
  <c r="AG20" i="3"/>
  <c r="AD68" i="3"/>
  <c r="X68" i="3"/>
  <c r="AA19" i="3"/>
  <c r="U19" i="3"/>
  <c r="AG15" i="3"/>
  <c r="U7" i="10"/>
  <c r="R15" i="10"/>
  <c r="AG23" i="10"/>
  <c r="AA23" i="10"/>
  <c r="AD31" i="10"/>
  <c r="AD6" i="10"/>
  <c r="X6" i="10"/>
  <c r="AG14" i="10"/>
  <c r="AA18" i="10"/>
  <c r="X18" i="10"/>
  <c r="AD18" i="10"/>
  <c r="R22" i="10"/>
  <c r="AA30" i="10"/>
  <c r="AG30" i="10"/>
  <c r="U5" i="10"/>
  <c r="AA9" i="10"/>
  <c r="AG17" i="10"/>
  <c r="AG21" i="10"/>
  <c r="AA21" i="10"/>
  <c r="R4" i="10"/>
  <c r="U4" i="10"/>
  <c r="AG8" i="10"/>
  <c r="U16" i="10"/>
  <c r="AA20" i="10"/>
  <c r="U24" i="10"/>
  <c r="AD16" i="14"/>
  <c r="AG28" i="10"/>
  <c r="R16" i="14"/>
  <c r="AA16" i="14"/>
  <c r="AA28" i="10"/>
  <c r="AD28" i="10"/>
  <c r="AA11" i="10"/>
  <c r="X27" i="10"/>
  <c r="AD27" i="10"/>
  <c r="AD35" i="10"/>
  <c r="X35" i="10"/>
  <c r="AG47" i="10"/>
  <c r="AA47" i="10"/>
  <c r="AG51" i="10"/>
  <c r="R51" i="10"/>
  <c r="AD10" i="10"/>
  <c r="X10" i="10"/>
  <c r="AG10" i="10"/>
  <c r="R34" i="10"/>
  <c r="R13" i="10"/>
  <c r="R25" i="10"/>
  <c r="AG25" i="10"/>
  <c r="AA25" i="10"/>
  <c r="U29" i="10"/>
  <c r="X37" i="10"/>
  <c r="R37" i="10"/>
  <c r="AA41" i="10"/>
  <c r="U41" i="10"/>
  <c r="AA49" i="10"/>
  <c r="AA48" i="10"/>
  <c r="U48" i="10"/>
  <c r="U56" i="10"/>
  <c r="AG11" i="10"/>
  <c r="AA35" i="10"/>
  <c r="U35" i="10"/>
  <c r="R47" i="10"/>
  <c r="X51" i="10"/>
  <c r="AD51" i="10"/>
  <c r="AH10" i="10"/>
  <c r="AA10" i="10"/>
  <c r="AD34" i="10"/>
  <c r="X34" i="10"/>
  <c r="U46" i="10"/>
  <c r="U13" i="10"/>
  <c r="X13" i="10"/>
  <c r="AD13" i="10"/>
  <c r="AD25" i="10"/>
  <c r="X25" i="10"/>
  <c r="R29" i="10"/>
  <c r="AG29" i="10"/>
  <c r="AA29" i="10"/>
  <c r="AD37" i="10"/>
  <c r="AG41" i="10"/>
  <c r="AG49" i="10"/>
  <c r="R49" i="10"/>
  <c r="AG48" i="10"/>
  <c r="AG56" i="10"/>
  <c r="AA56" i="10"/>
  <c r="R11" i="10"/>
  <c r="AA27" i="10"/>
  <c r="U27" i="10"/>
  <c r="AG35" i="10"/>
  <c r="AD47" i="10"/>
  <c r="X47" i="10"/>
  <c r="U34" i="10"/>
  <c r="R46" i="10"/>
  <c r="AG46" i="10"/>
  <c r="AA46" i="10"/>
  <c r="AA13" i="10"/>
  <c r="AD29" i="10"/>
  <c r="X29" i="10"/>
  <c r="AA37" i="10"/>
  <c r="U37" i="10"/>
  <c r="R41" i="10"/>
  <c r="U49" i="10"/>
  <c r="AD49" i="10"/>
  <c r="X48" i="10"/>
  <c r="R48" i="10"/>
  <c r="X56" i="10"/>
  <c r="R56" i="10"/>
  <c r="U11" i="10"/>
  <c r="X11" i="10"/>
  <c r="AD11" i="10"/>
  <c r="R27" i="10"/>
  <c r="AG27" i="10"/>
  <c r="R35" i="10"/>
  <c r="U47" i="10"/>
  <c r="U51" i="10"/>
  <c r="AA51" i="10"/>
  <c r="U10" i="10"/>
  <c r="AA34" i="10"/>
  <c r="AG34" i="10"/>
  <c r="AD46" i="10"/>
  <c r="X46" i="10"/>
  <c r="AG13" i="10"/>
  <c r="U25" i="10"/>
  <c r="AD41" i="10"/>
  <c r="X41" i="10"/>
  <c r="AD48" i="10"/>
  <c r="AD56" i="10"/>
  <c r="U6" i="14"/>
  <c r="AG6" i="14"/>
  <c r="R6" i="14"/>
  <c r="AA6" i="14"/>
  <c r="AD6" i="14"/>
  <c r="R26" i="3"/>
  <c r="AG28" i="3"/>
  <c r="R24" i="3"/>
  <c r="AG72" i="3"/>
  <c r="AG71" i="3"/>
  <c r="R94" i="3"/>
  <c r="AG13" i="14"/>
  <c r="R25" i="3"/>
  <c r="AG26" i="3"/>
  <c r="AG27" i="3"/>
  <c r="AG24" i="3"/>
  <c r="AG25" i="3"/>
  <c r="R43" i="3"/>
  <c r="AG70" i="3"/>
  <c r="R70" i="3"/>
  <c r="AG94" i="3"/>
  <c r="AG17" i="14"/>
  <c r="AH13" i="14"/>
  <c r="R27" i="3"/>
  <c r="R28" i="3"/>
  <c r="R72" i="3"/>
  <c r="R71" i="3"/>
  <c r="R17" i="14"/>
  <c r="U3" i="14"/>
  <c r="R5" i="14"/>
  <c r="R3" i="14"/>
  <c r="AA3" i="14"/>
  <c r="AG5" i="14"/>
  <c r="AH3" i="14"/>
  <c r="AG4" i="14"/>
  <c r="AA5" i="14"/>
  <c r="AA4" i="14"/>
  <c r="R9" i="14"/>
  <c r="AA9" i="14"/>
  <c r="AD9" i="14"/>
  <c r="U15" i="14"/>
  <c r="AA15" i="14"/>
  <c r="R15" i="14"/>
  <c r="AS23" i="10"/>
  <c r="Y5" i="14"/>
  <c r="Y7" i="14"/>
  <c r="AO3" i="10"/>
  <c r="Y17" i="14"/>
  <c r="Y13" i="14"/>
  <c r="AS27" i="10"/>
  <c r="Q27" i="10"/>
  <c r="Q39" i="10"/>
  <c r="AS39" i="10"/>
  <c r="Q43" i="10"/>
  <c r="AS43" i="10"/>
  <c r="Q47" i="10"/>
  <c r="AS47" i="10"/>
  <c r="Y14" i="14"/>
  <c r="Q6" i="14"/>
  <c r="AS6" i="14"/>
  <c r="Q42" i="10"/>
  <c r="AS42" i="10"/>
  <c r="Y3" i="14"/>
  <c r="Q37" i="10"/>
  <c r="AS37" i="10"/>
  <c r="Y16" i="14"/>
  <c r="Y12" i="14"/>
  <c r="Q28" i="10"/>
  <c r="AS28" i="10"/>
  <c r="AS40" i="10"/>
  <c r="Q40" i="10"/>
  <c r="AS48" i="10"/>
  <c r="Q48" i="10"/>
  <c r="AS17" i="14"/>
  <c r="Q17" i="14"/>
  <c r="Y9" i="14"/>
  <c r="Q35" i="10"/>
  <c r="AS35" i="10"/>
  <c r="Y18" i="14"/>
  <c r="AS18" i="14"/>
  <c r="Q18" i="14"/>
  <c r="AS14" i="14"/>
  <c r="Q14" i="14"/>
  <c r="Y6" i="14"/>
  <c r="AS26" i="10"/>
  <c r="Q26" i="10"/>
  <c r="Q30" i="10"/>
  <c r="AS30" i="10"/>
  <c r="Q34" i="10"/>
  <c r="AS34" i="10"/>
  <c r="AS46" i="10"/>
  <c r="Q46" i="10"/>
  <c r="AS50" i="10"/>
  <c r="Y11" i="14"/>
  <c r="Q41" i="10"/>
  <c r="AS41" i="10"/>
  <c r="Q49" i="10"/>
  <c r="AS49" i="10"/>
  <c r="Q3" i="10"/>
  <c r="AS3" i="10"/>
  <c r="AS8" i="14"/>
  <c r="Q8" i="14"/>
  <c r="Y4" i="14"/>
  <c r="Q12" i="10"/>
  <c r="AS12" i="10"/>
  <c r="Q16" i="10"/>
  <c r="AS16" i="10"/>
  <c r="Q20" i="10"/>
  <c r="AS20" i="10"/>
  <c r="Q24" i="10"/>
  <c r="AS24" i="10"/>
  <c r="Q32" i="10"/>
  <c r="AS32" i="10"/>
  <c r="AS44" i="10"/>
  <c r="Q44" i="10"/>
  <c r="Q9" i="14"/>
  <c r="AS9" i="14"/>
  <c r="AS11" i="10"/>
  <c r="Q11" i="10"/>
  <c r="AS15" i="10"/>
  <c r="Q15" i="10"/>
  <c r="AS19" i="10"/>
  <c r="Q19" i="10"/>
  <c r="Q23" i="10"/>
  <c r="Q31" i="10"/>
  <c r="AS31" i="10"/>
  <c r="Q38" i="10"/>
  <c r="AS38" i="10"/>
  <c r="Y15" i="14"/>
  <c r="Q7" i="14"/>
  <c r="AS7" i="14"/>
  <c r="AS3" i="14"/>
  <c r="Q3" i="14"/>
  <c r="Q13" i="10"/>
  <c r="AS13" i="10"/>
  <c r="Q17" i="10"/>
  <c r="AS17" i="10"/>
  <c r="Q21" i="10"/>
  <c r="AS21" i="10"/>
  <c r="Y8" i="14"/>
  <c r="Q4" i="14"/>
  <c r="AS4" i="14"/>
  <c r="Q4" i="10"/>
  <c r="AS4" i="10"/>
  <c r="Q8" i="10"/>
  <c r="AS8" i="10"/>
  <c r="AS13" i="14"/>
  <c r="Q13" i="14"/>
  <c r="AS5" i="14"/>
  <c r="Q5" i="14"/>
  <c r="AS7" i="10"/>
  <c r="Q7" i="10"/>
  <c r="AS6" i="10"/>
  <c r="Q6" i="10"/>
  <c r="AS10" i="10"/>
  <c r="Q10" i="10"/>
  <c r="AS14" i="10"/>
  <c r="Q14" i="10"/>
  <c r="AS18" i="10"/>
  <c r="Q18" i="10"/>
  <c r="Q22" i="10"/>
  <c r="AS22" i="10"/>
  <c r="Q15" i="14"/>
  <c r="AS15" i="14"/>
  <c r="Q11" i="14"/>
  <c r="AS11" i="14"/>
  <c r="Q5" i="10"/>
  <c r="AS5" i="10"/>
  <c r="Q9" i="10"/>
  <c r="AS9" i="10"/>
  <c r="AS25" i="10"/>
  <c r="Q25" i="10"/>
  <c r="AS29" i="10"/>
  <c r="Q29" i="10"/>
  <c r="Q33" i="10"/>
  <c r="AS33" i="10"/>
  <c r="AS16" i="14"/>
  <c r="Q16" i="14"/>
  <c r="Q12" i="14"/>
  <c r="AS12" i="14"/>
  <c r="Q36" i="10"/>
  <c r="AS36" i="10"/>
  <c r="D11" i="24"/>
  <c r="E15" i="24"/>
  <c r="G19" i="24"/>
  <c r="G34" i="24" s="1"/>
  <c r="E19" i="24"/>
  <c r="F19" i="24"/>
  <c r="F34" i="24" s="1"/>
  <c r="G11" i="5"/>
  <c r="AO3" i="14" s="1"/>
  <c r="G12" i="5"/>
  <c r="G18" i="5"/>
  <c r="G19" i="5"/>
  <c r="AO4" i="10" s="1"/>
  <c r="M26" i="24"/>
  <c r="G26" i="5"/>
  <c r="G14" i="5"/>
  <c r="G15" i="5"/>
  <c r="G10" i="5"/>
  <c r="M17" i="24"/>
  <c r="G17" i="5"/>
  <c r="M13" i="24"/>
  <c r="G13" i="5"/>
  <c r="M9" i="24"/>
  <c r="G9" i="5"/>
  <c r="O8" i="24"/>
  <c r="P8" i="24"/>
  <c r="Q8" i="24"/>
  <c r="R8" i="24"/>
  <c r="S8" i="24"/>
  <c r="T8" i="24"/>
  <c r="O10" i="24"/>
  <c r="H10" i="24" s="1"/>
  <c r="P10" i="24"/>
  <c r="I10" i="24" s="1"/>
  <c r="Q10" i="24"/>
  <c r="J10" i="24" s="1"/>
  <c r="R10" i="24"/>
  <c r="K10" i="24" s="1"/>
  <c r="S10" i="24"/>
  <c r="L10" i="24" s="1"/>
  <c r="T10" i="24"/>
  <c r="M10" i="24" s="1"/>
  <c r="O11" i="24"/>
  <c r="H11" i="24" s="1"/>
  <c r="P11" i="24"/>
  <c r="I11" i="24" s="1"/>
  <c r="Q11" i="24"/>
  <c r="J11" i="24" s="1"/>
  <c r="R11" i="24"/>
  <c r="K11" i="24" s="1"/>
  <c r="S11" i="24"/>
  <c r="L11" i="24" s="1"/>
  <c r="T11" i="24"/>
  <c r="M11" i="24" s="1"/>
  <c r="O12" i="24"/>
  <c r="H12" i="24" s="1"/>
  <c r="P12" i="24"/>
  <c r="I12" i="24" s="1"/>
  <c r="Q12" i="24"/>
  <c r="J12" i="24" s="1"/>
  <c r="R12" i="24"/>
  <c r="K12" i="24" s="1"/>
  <c r="S12" i="24"/>
  <c r="L12" i="24" s="1"/>
  <c r="T12" i="24"/>
  <c r="M12" i="24" s="1"/>
  <c r="O14" i="24"/>
  <c r="H14" i="24" s="1"/>
  <c r="P14" i="24"/>
  <c r="I14" i="24" s="1"/>
  <c r="Q14" i="24"/>
  <c r="J14" i="24" s="1"/>
  <c r="R14" i="24"/>
  <c r="K14" i="24" s="1"/>
  <c r="S14" i="24"/>
  <c r="L14" i="24" s="1"/>
  <c r="T14" i="24"/>
  <c r="M14" i="24" s="1"/>
  <c r="O15" i="24"/>
  <c r="H15" i="24" s="1"/>
  <c r="P15" i="24"/>
  <c r="I15" i="24" s="1"/>
  <c r="Q15" i="24"/>
  <c r="J15" i="24" s="1"/>
  <c r="R15" i="24"/>
  <c r="K15" i="24" s="1"/>
  <c r="S15" i="24"/>
  <c r="L15" i="24" s="1"/>
  <c r="T15" i="24"/>
  <c r="M15" i="24" s="1"/>
  <c r="O16" i="24"/>
  <c r="H16" i="24" s="1"/>
  <c r="P16" i="24"/>
  <c r="I16" i="24" s="1"/>
  <c r="Q16" i="24"/>
  <c r="J16" i="24" s="1"/>
  <c r="R16" i="24"/>
  <c r="K16" i="24" s="1"/>
  <c r="S16" i="24"/>
  <c r="L16" i="24" s="1"/>
  <c r="T16" i="24"/>
  <c r="M16" i="24" s="1"/>
  <c r="O18" i="24"/>
  <c r="H18" i="24" s="1"/>
  <c r="P18" i="24"/>
  <c r="I18" i="24" s="1"/>
  <c r="Q18" i="24"/>
  <c r="J18" i="24" s="1"/>
  <c r="R18" i="24"/>
  <c r="K18" i="24" s="1"/>
  <c r="S18" i="24"/>
  <c r="L18" i="24" s="1"/>
  <c r="T18" i="24"/>
  <c r="M18" i="24" s="1"/>
  <c r="O19" i="24"/>
  <c r="H19" i="24" s="1"/>
  <c r="P19" i="24"/>
  <c r="I19" i="24" s="1"/>
  <c r="Q19" i="24"/>
  <c r="J19" i="24" s="1"/>
  <c r="R19" i="24"/>
  <c r="K19" i="24" s="1"/>
  <c r="S19" i="24"/>
  <c r="L19" i="24" s="1"/>
  <c r="T19" i="24"/>
  <c r="M19" i="24" s="1"/>
  <c r="O20" i="24"/>
  <c r="H20" i="24" s="1"/>
  <c r="P20" i="24"/>
  <c r="I20" i="24" s="1"/>
  <c r="Q20" i="24"/>
  <c r="J20" i="24" s="1"/>
  <c r="R20" i="24"/>
  <c r="K20" i="24" s="1"/>
  <c r="S20" i="24"/>
  <c r="L20" i="24" s="1"/>
  <c r="T20" i="24"/>
  <c r="M20" i="24" s="1"/>
  <c r="O21" i="24"/>
  <c r="H21" i="24" s="1"/>
  <c r="P21" i="24"/>
  <c r="I21" i="24" s="1"/>
  <c r="Q21" i="24"/>
  <c r="J21" i="24" s="1"/>
  <c r="R21" i="24"/>
  <c r="K21" i="24" s="1"/>
  <c r="S21" i="24"/>
  <c r="L21" i="24" s="1"/>
  <c r="T21" i="24"/>
  <c r="M21" i="24" s="1"/>
  <c r="O22" i="24"/>
  <c r="H22" i="24" s="1"/>
  <c r="P22" i="24"/>
  <c r="I22" i="24" s="1"/>
  <c r="Q22" i="24"/>
  <c r="J22" i="24" s="1"/>
  <c r="R22" i="24"/>
  <c r="K22" i="24" s="1"/>
  <c r="S22" i="24"/>
  <c r="L22" i="24" s="1"/>
  <c r="T22" i="24"/>
  <c r="M22" i="24" s="1"/>
  <c r="O23" i="24"/>
  <c r="H23" i="24" s="1"/>
  <c r="P23" i="24"/>
  <c r="I23" i="24" s="1"/>
  <c r="Q23" i="24"/>
  <c r="J23" i="24" s="1"/>
  <c r="R23" i="24"/>
  <c r="K23" i="24" s="1"/>
  <c r="S23" i="24"/>
  <c r="L23" i="24" s="1"/>
  <c r="T23" i="24"/>
  <c r="M23" i="24" s="1"/>
  <c r="O24" i="24"/>
  <c r="H24" i="24" s="1"/>
  <c r="P24" i="24"/>
  <c r="I24" i="24" s="1"/>
  <c r="Q24" i="24"/>
  <c r="J24" i="24" s="1"/>
  <c r="R24" i="24"/>
  <c r="K24" i="24" s="1"/>
  <c r="S24" i="24"/>
  <c r="L24" i="24" s="1"/>
  <c r="T24" i="24"/>
  <c r="M24" i="24" s="1"/>
  <c r="O25" i="24"/>
  <c r="H25" i="24" s="1"/>
  <c r="P25" i="24"/>
  <c r="I25" i="24" s="1"/>
  <c r="Q25" i="24"/>
  <c r="J25" i="24" s="1"/>
  <c r="R25" i="24"/>
  <c r="K25" i="24" s="1"/>
  <c r="S25" i="24"/>
  <c r="L25" i="24" s="1"/>
  <c r="T25" i="24"/>
  <c r="M25" i="24" s="1"/>
  <c r="O27" i="24"/>
  <c r="H27" i="24" s="1"/>
  <c r="P27" i="24"/>
  <c r="I27" i="24" s="1"/>
  <c r="Q27" i="24"/>
  <c r="J27" i="24" s="1"/>
  <c r="R27" i="24"/>
  <c r="K27" i="24" s="1"/>
  <c r="S27" i="24"/>
  <c r="L27" i="24" s="1"/>
  <c r="T27" i="24"/>
  <c r="M27" i="24" s="1"/>
  <c r="G8" i="5"/>
  <c r="AE10" i="14" l="1"/>
  <c r="AF10" i="14" s="1"/>
  <c r="AS45" i="10"/>
  <c r="AB124" i="3"/>
  <c r="AC124" i="3" s="1"/>
  <c r="AE127" i="3"/>
  <c r="AF127" i="3" s="1"/>
  <c r="AB127" i="3"/>
  <c r="AC127" i="3" s="1"/>
  <c r="AE124" i="3"/>
  <c r="AF124" i="3" s="1"/>
  <c r="AB123" i="3"/>
  <c r="AC123" i="3" s="1"/>
  <c r="AB126" i="3"/>
  <c r="AC126" i="3" s="1"/>
  <c r="AE128" i="3"/>
  <c r="AF128" i="3" s="1"/>
  <c r="AB125" i="3"/>
  <c r="AC125" i="3" s="1"/>
  <c r="AB128" i="3"/>
  <c r="AC128" i="3" s="1"/>
  <c r="AE125" i="3"/>
  <c r="AF125" i="3" s="1"/>
  <c r="AE126" i="3"/>
  <c r="AF126" i="3" s="1"/>
  <c r="AE123" i="3"/>
  <c r="AF123" i="3" s="1"/>
  <c r="AB56" i="10"/>
  <c r="AE35" i="10"/>
  <c r="AB41" i="10"/>
  <c r="AB33" i="10"/>
  <c r="AE36" i="10"/>
  <c r="AE19" i="10"/>
  <c r="AB18" i="10"/>
  <c r="AE34" i="10"/>
  <c r="AB20" i="10"/>
  <c r="AE37" i="10"/>
  <c r="AE41" i="10"/>
  <c r="AB17" i="10"/>
  <c r="AE13" i="10"/>
  <c r="AE38" i="10"/>
  <c r="AB7" i="10"/>
  <c r="AB40" i="10"/>
  <c r="AB54" i="10"/>
  <c r="AE14" i="10"/>
  <c r="AE17" i="10"/>
  <c r="AE50" i="10"/>
  <c r="AB9" i="10"/>
  <c r="AB19" i="10"/>
  <c r="AE46" i="10"/>
  <c r="AB35" i="10"/>
  <c r="AB31" i="10"/>
  <c r="AE16" i="10"/>
  <c r="AE49" i="10"/>
  <c r="AE32" i="10"/>
  <c r="AB13" i="10"/>
  <c r="AB22" i="10"/>
  <c r="AE8" i="10"/>
  <c r="AE9" i="10"/>
  <c r="AE47" i="10"/>
  <c r="AB45" i="10"/>
  <c r="AE4" i="10"/>
  <c r="AB26" i="10"/>
  <c r="AE5" i="10"/>
  <c r="AB6" i="10"/>
  <c r="AE11" i="10"/>
  <c r="AE48" i="10"/>
  <c r="AE40" i="10"/>
  <c r="AB32" i="10"/>
  <c r="AB4" i="10"/>
  <c r="AE3" i="10"/>
  <c r="AE29" i="10"/>
  <c r="AE10" i="10"/>
  <c r="AB55" i="10"/>
  <c r="AE27" i="10"/>
  <c r="AB24" i="10"/>
  <c r="AB8" i="10"/>
  <c r="AE26" i="10"/>
  <c r="AB3" i="10"/>
  <c r="AB42" i="10"/>
  <c r="AB37" i="10"/>
  <c r="AE24" i="10"/>
  <c r="AB10" i="10"/>
  <c r="AE44" i="10"/>
  <c r="AE33" i="10"/>
  <c r="AE25" i="10"/>
  <c r="AE56" i="10"/>
  <c r="AE12" i="10"/>
  <c r="AE22" i="10"/>
  <c r="AB43" i="10"/>
  <c r="AB29" i="10"/>
  <c r="AB21" i="10"/>
  <c r="AB5" i="10"/>
  <c r="AB14" i="10"/>
  <c r="AE43" i="10"/>
  <c r="AB44" i="10"/>
  <c r="AE53" i="10"/>
  <c r="AE45" i="10"/>
  <c r="AB38" i="10"/>
  <c r="AE18" i="10"/>
  <c r="AE39" i="10"/>
  <c r="AB27" i="10"/>
  <c r="AB15" i="10"/>
  <c r="AE7" i="10"/>
  <c r="AB36" i="10"/>
  <c r="AE28" i="10"/>
  <c r="AB16" i="10"/>
  <c r="AE21" i="10"/>
  <c r="AE42" i="10"/>
  <c r="AE6" i="10"/>
  <c r="AE51" i="10"/>
  <c r="AE23" i="10"/>
  <c r="AE20" i="10"/>
  <c r="AE54" i="10"/>
  <c r="AE55" i="10"/>
  <c r="AB11" i="10"/>
  <c r="AB34" i="10"/>
  <c r="AB25" i="10"/>
  <c r="AB30" i="10"/>
  <c r="AB23" i="10"/>
  <c r="AB39" i="10"/>
  <c r="AE31" i="10"/>
  <c r="AE15" i="10"/>
  <c r="AB28" i="10"/>
  <c r="AB12" i="10"/>
  <c r="AE30" i="10"/>
  <c r="AE52" i="10"/>
  <c r="AE14" i="14"/>
  <c r="AE7" i="14"/>
  <c r="AE3" i="14"/>
  <c r="V3" i="14"/>
  <c r="AE18" i="14"/>
  <c r="AE4" i="14"/>
  <c r="AE15" i="14"/>
  <c r="AE13" i="14"/>
  <c r="AE12" i="14"/>
  <c r="AE16" i="14"/>
  <c r="AE17" i="14"/>
  <c r="AE9" i="14"/>
  <c r="AB3" i="14"/>
  <c r="AE6" i="14"/>
  <c r="AE5" i="14"/>
  <c r="AE8" i="14"/>
  <c r="AE11" i="14"/>
  <c r="AB3" i="3"/>
  <c r="AE3" i="3"/>
  <c r="M8" i="24"/>
  <c r="V32" i="11" l="1"/>
  <c r="A8" i="5"/>
  <c r="N6" i="20"/>
  <c r="AB6" i="20"/>
  <c r="AP6" i="20"/>
  <c r="BK6" i="20"/>
  <c r="B4" i="23"/>
  <c r="DH6" i="20" l="1"/>
  <c r="BY6" i="20"/>
  <c r="CM6" i="20"/>
  <c r="CF6" i="20"/>
  <c r="BD6" i="20"/>
  <c r="DA6" i="20"/>
  <c r="CT6" i="20"/>
  <c r="BR6" i="20"/>
  <c r="AI6" i="20"/>
  <c r="U6" i="20"/>
  <c r="AW6" i="20"/>
  <c r="M34" i="24"/>
  <c r="K59" i="3"/>
  <c r="K61" i="3"/>
  <c r="K65" i="3"/>
  <c r="N67" i="3"/>
  <c r="N69" i="3"/>
  <c r="N73" i="3"/>
  <c r="K78" i="3"/>
  <c r="N79" i="3"/>
  <c r="N59" i="3"/>
  <c r="N61" i="3"/>
  <c r="K67" i="3"/>
  <c r="K69" i="3"/>
  <c r="K73" i="3"/>
  <c r="N74" i="3"/>
  <c r="N76" i="3"/>
  <c r="N78" i="3"/>
  <c r="N82" i="3"/>
  <c r="N84" i="3"/>
  <c r="N86" i="3"/>
  <c r="G87" i="3"/>
  <c r="I87" i="3" s="1"/>
  <c r="AR87" i="3" s="1"/>
  <c r="N93" i="3"/>
  <c r="N95" i="3"/>
  <c r="K106" i="3"/>
  <c r="N88" i="3"/>
  <c r="N90" i="3"/>
  <c r="N92" i="3"/>
  <c r="N94" i="3"/>
  <c r="N96" i="3"/>
  <c r="N104" i="3"/>
  <c r="K108" i="3"/>
  <c r="N110" i="3"/>
  <c r="N114" i="3"/>
  <c r="K116" i="3"/>
  <c r="K54" i="3"/>
  <c r="K44" i="3"/>
  <c r="K36" i="3"/>
  <c r="N24" i="3"/>
  <c r="N71" i="3"/>
  <c r="N98" i="3"/>
  <c r="N106" i="3"/>
  <c r="K121" i="3"/>
  <c r="G3" i="14"/>
  <c r="I3" i="14" s="1"/>
  <c r="AR3" i="14" s="1"/>
  <c r="N54" i="3"/>
  <c r="K50" i="3"/>
  <c r="K48" i="3"/>
  <c r="G45" i="3"/>
  <c r="I45" i="3" s="1"/>
  <c r="AR45" i="3" s="1"/>
  <c r="K38" i="3"/>
  <c r="N32" i="3"/>
  <c r="K16" i="3"/>
  <c r="K12" i="3"/>
  <c r="G5" i="3"/>
  <c r="I5" i="3" s="1"/>
  <c r="AR5" i="3" s="1"/>
  <c r="K3" i="3"/>
  <c r="K57" i="3"/>
  <c r="K63" i="3"/>
  <c r="N65" i="3"/>
  <c r="N75" i="3"/>
  <c r="N77" i="3"/>
  <c r="N80" i="3"/>
  <c r="N97" i="3"/>
  <c r="N100" i="3"/>
  <c r="N102" i="3"/>
  <c r="G106" i="3"/>
  <c r="I106" i="3" s="1"/>
  <c r="AR106" i="3" s="1"/>
  <c r="N108" i="3"/>
  <c r="N112" i="3"/>
  <c r="K114" i="3"/>
  <c r="K119" i="3"/>
  <c r="K56" i="3"/>
  <c r="K52" i="3"/>
  <c r="N51" i="3"/>
  <c r="N47" i="3"/>
  <c r="K46" i="3"/>
  <c r="N57" i="3"/>
  <c r="N63" i="3"/>
  <c r="K71" i="3"/>
  <c r="N99" i="3"/>
  <c r="K117" i="3"/>
  <c r="N119" i="3"/>
  <c r="N121" i="3"/>
  <c r="N39" i="3"/>
  <c r="N28" i="3"/>
  <c r="K14" i="3"/>
  <c r="K102" i="3"/>
  <c r="G119" i="3"/>
  <c r="I119" i="3" s="1"/>
  <c r="AR119" i="3" s="1"/>
  <c r="N56" i="3"/>
  <c r="N43" i="3"/>
  <c r="N30" i="3"/>
  <c r="K4" i="3"/>
  <c r="N89" i="3"/>
  <c r="G79" i="3"/>
  <c r="I79" i="3" s="1"/>
  <c r="AR79" i="3" s="1"/>
  <c r="K80" i="3"/>
  <c r="N81" i="3"/>
  <c r="N83" i="3"/>
  <c r="N85" i="3"/>
  <c r="K112" i="3"/>
  <c r="N91" i="3"/>
  <c r="K104" i="3"/>
  <c r="K18" i="3"/>
  <c r="N87" i="3"/>
  <c r="K10" i="3"/>
  <c r="K7" i="3"/>
  <c r="N3" i="3"/>
  <c r="K110" i="3"/>
  <c r="G105" i="3"/>
  <c r="I105" i="3" s="1"/>
  <c r="AR105" i="3" s="1"/>
  <c r="K101" i="3"/>
  <c r="K94" i="3"/>
  <c r="K86" i="3"/>
  <c r="K84" i="3"/>
  <c r="K90" i="3"/>
  <c r="K105" i="3"/>
  <c r="N72" i="3"/>
  <c r="K68" i="3"/>
  <c r="N66" i="3"/>
  <c r="N60" i="3"/>
  <c r="N58" i="3"/>
  <c r="N62" i="3"/>
  <c r="K33" i="3"/>
  <c r="N7" i="3"/>
  <c r="K8" i="3"/>
  <c r="N12" i="3"/>
  <c r="N14" i="3"/>
  <c r="N16" i="3"/>
  <c r="N18" i="3"/>
  <c r="K23" i="3"/>
  <c r="K29" i="3"/>
  <c r="K31" i="3"/>
  <c r="N20" i="3"/>
  <c r="N35" i="3"/>
  <c r="N33" i="3"/>
  <c r="N40" i="3"/>
  <c r="K39" i="3"/>
  <c r="K43" i="3"/>
  <c r="K55" i="3"/>
  <c r="K49" i="3"/>
  <c r="N49" i="3"/>
  <c r="G38" i="3"/>
  <c r="I38" i="3" s="1"/>
  <c r="AR38" i="3" s="1"/>
  <c r="G49" i="3"/>
  <c r="I49" i="3" s="1"/>
  <c r="AR49" i="3" s="1"/>
  <c r="K53" i="3"/>
  <c r="K51" i="3"/>
  <c r="N48" i="3"/>
  <c r="K27" i="3"/>
  <c r="G35" i="3"/>
  <c r="I35" i="3" s="1"/>
  <c r="AR35" i="3" s="1"/>
  <c r="K35" i="3"/>
  <c r="K76" i="3"/>
  <c r="N68" i="3"/>
  <c r="K72" i="3"/>
  <c r="K58" i="3"/>
  <c r="K85" i="3"/>
  <c r="K91" i="3"/>
  <c r="K82" i="3"/>
  <c r="K95" i="3"/>
  <c r="K88" i="3"/>
  <c r="N116" i="3"/>
  <c r="N111" i="3"/>
  <c r="N109" i="3"/>
  <c r="K118" i="3"/>
  <c r="N113" i="3"/>
  <c r="N120" i="3"/>
  <c r="N115" i="3"/>
  <c r="K107" i="3"/>
  <c r="N105" i="3"/>
  <c r="N101" i="3"/>
  <c r="K70" i="3"/>
  <c r="K79" i="3"/>
  <c r="N64" i="3"/>
  <c r="N5" i="3"/>
  <c r="K45" i="3"/>
  <c r="N8" i="3"/>
  <c r="N11" i="3"/>
  <c r="K6" i="3"/>
  <c r="N10" i="3"/>
  <c r="G34" i="3"/>
  <c r="I34" i="3" s="1"/>
  <c r="AR34" i="3" s="1"/>
  <c r="N23" i="3"/>
  <c r="N31" i="3"/>
  <c r="N21" i="3"/>
  <c r="K13" i="3"/>
  <c r="K15" i="3"/>
  <c r="K17" i="3"/>
  <c r="K24" i="3"/>
  <c r="K30" i="3"/>
  <c r="K28" i="3"/>
  <c r="N36" i="3"/>
  <c r="K41" i="3"/>
  <c r="N44" i="3"/>
  <c r="K47" i="3"/>
  <c r="K21" i="3"/>
  <c r="K83" i="3"/>
  <c r="K100" i="3"/>
  <c r="K89" i="3"/>
  <c r="K93" i="3"/>
  <c r="K77" i="3"/>
  <c r="K122" i="3"/>
  <c r="N70" i="3"/>
  <c r="K60" i="3"/>
  <c r="K62" i="3"/>
  <c r="K96" i="3"/>
  <c r="K99" i="3"/>
  <c r="K87" i="3"/>
  <c r="K92" i="3"/>
  <c r="K113" i="3"/>
  <c r="N122" i="3"/>
  <c r="N103" i="3"/>
  <c r="G58" i="3"/>
  <c r="I58" i="3" s="1"/>
  <c r="AR58" i="3" s="1"/>
  <c r="K25" i="3"/>
  <c r="AM3" i="3"/>
  <c r="N15" i="3"/>
  <c r="K19" i="3"/>
  <c r="N22" i="3"/>
  <c r="N41" i="3"/>
  <c r="N52" i="3"/>
  <c r="K34" i="3"/>
  <c r="N25" i="3"/>
  <c r="K40" i="3"/>
  <c r="K37" i="3"/>
  <c r="N45" i="3"/>
  <c r="N42" i="3"/>
  <c r="K5" i="3"/>
  <c r="G4" i="3"/>
  <c r="I4" i="3" s="1"/>
  <c r="AR4" i="3" s="1"/>
  <c r="N9" i="3"/>
  <c r="N29" i="3"/>
  <c r="N13" i="3"/>
  <c r="N17" i="3"/>
  <c r="K22" i="3"/>
  <c r="N27" i="3"/>
  <c r="N37" i="3"/>
  <c r="K42" i="3"/>
  <c r="K74" i="3"/>
  <c r="K111" i="3"/>
  <c r="N118" i="3"/>
  <c r="K103" i="3"/>
  <c r="K66" i="3"/>
  <c r="K11" i="3"/>
  <c r="N26" i="3"/>
  <c r="N34" i="3"/>
  <c r="K26" i="3"/>
  <c r="K97" i="3"/>
  <c r="K75" i="3"/>
  <c r="N117" i="3"/>
  <c r="G116" i="3"/>
  <c r="I116" i="3" s="1"/>
  <c r="AR116" i="3" s="1"/>
  <c r="N6" i="3"/>
  <c r="K20" i="3"/>
  <c r="G31" i="3"/>
  <c r="I31" i="3" s="1"/>
  <c r="AR31" i="3" s="1"/>
  <c r="N55" i="3"/>
  <c r="N53" i="3"/>
  <c r="K81" i="3"/>
  <c r="K98" i="3"/>
  <c r="K109" i="3"/>
  <c r="K120" i="3"/>
  <c r="K115" i="3"/>
  <c r="N107" i="3"/>
  <c r="K64" i="3"/>
  <c r="K9" i="3"/>
  <c r="N4" i="3"/>
  <c r="N19" i="3"/>
  <c r="K32" i="3"/>
  <c r="N46" i="3"/>
  <c r="G55" i="3"/>
  <c r="I55" i="3" s="1"/>
  <c r="AR55" i="3" s="1"/>
  <c r="N38" i="3"/>
  <c r="N50" i="3"/>
  <c r="G6" i="20"/>
  <c r="C32" i="24"/>
  <c r="G5" i="14"/>
  <c r="I5" i="14" s="1"/>
  <c r="AR5" i="14" s="1"/>
  <c r="G81" i="3" l="1"/>
  <c r="I81" i="3" s="1"/>
  <c r="AR81" i="3" s="1"/>
  <c r="G60" i="3"/>
  <c r="I60" i="3" s="1"/>
  <c r="AR60" i="3" s="1"/>
  <c r="G52" i="3"/>
  <c r="I52" i="3" s="1"/>
  <c r="AR52" i="3" s="1"/>
  <c r="G111" i="3"/>
  <c r="I111" i="3" s="1"/>
  <c r="AR111" i="3" s="1"/>
  <c r="G4" i="14"/>
  <c r="I4" i="14" s="1"/>
  <c r="AR4" i="14" s="1"/>
  <c r="G74" i="3"/>
  <c r="I74" i="3" s="1"/>
  <c r="AR74" i="3" s="1"/>
  <c r="G9" i="3"/>
  <c r="I9" i="3" s="1"/>
  <c r="AR9" i="3" s="1"/>
  <c r="G48" i="3"/>
  <c r="I48" i="3" s="1"/>
  <c r="AR48" i="3" s="1"/>
  <c r="G6" i="3"/>
  <c r="I6" i="3" s="1"/>
  <c r="AR6" i="3" s="1"/>
  <c r="G8" i="3"/>
  <c r="I8" i="3" s="1"/>
  <c r="AR8" i="3" s="1"/>
  <c r="G117" i="3"/>
  <c r="I117" i="3" s="1"/>
  <c r="AR117" i="3" s="1"/>
  <c r="G7" i="3"/>
  <c r="I7" i="3" s="1"/>
  <c r="AR7" i="3" s="1"/>
  <c r="G120" i="3"/>
  <c r="I120" i="3" s="1"/>
  <c r="AR120" i="3" s="1"/>
  <c r="G75" i="3"/>
  <c r="I75" i="3" s="1"/>
  <c r="AR75" i="3" s="1"/>
  <c r="G96" i="3"/>
  <c r="I96" i="3" s="1"/>
  <c r="AR96" i="3" s="1"/>
  <c r="G90" i="3"/>
  <c r="I90" i="3" s="1"/>
  <c r="AR90" i="3" s="1"/>
  <c r="G85" i="3"/>
  <c r="I85" i="3" s="1"/>
  <c r="AR85" i="3" s="1"/>
  <c r="G91" i="3"/>
  <c r="I91" i="3" s="1"/>
  <c r="AR91" i="3" s="1"/>
  <c r="G59" i="3"/>
  <c r="I59" i="3" s="1"/>
  <c r="AR59" i="3" s="1"/>
  <c r="F6" i="8"/>
  <c r="B4" i="13"/>
  <c r="B4" i="7"/>
  <c r="B4" i="12"/>
  <c r="B8" i="5" l="1"/>
  <c r="C28" i="24" l="1"/>
  <c r="L8" i="24" l="1"/>
  <c r="K8" i="24"/>
  <c r="L34" i="24" l="1"/>
  <c r="K34" i="24"/>
  <c r="E6" i="23"/>
  <c r="E6" i="13"/>
  <c r="C6" i="13"/>
  <c r="E26" i="23" l="1"/>
  <c r="J3" i="14" l="1"/>
  <c r="J4" i="14"/>
  <c r="S4" i="14" l="1"/>
  <c r="S3" i="14"/>
  <c r="J5" i="14"/>
  <c r="D8" i="5"/>
  <c r="X45" i="10" s="1"/>
  <c r="N29" i="11"/>
  <c r="C29" i="24" s="1"/>
  <c r="G11" i="14"/>
  <c r="I11" i="14" s="1"/>
  <c r="AR11" i="14" s="1"/>
  <c r="C8" i="5"/>
  <c r="U45" i="10" s="1"/>
  <c r="J8" i="24"/>
  <c r="C54" i="10"/>
  <c r="C55" i="10"/>
  <c r="C56" i="10"/>
  <c r="L56" i="10" l="1"/>
  <c r="M56" i="10" s="1"/>
  <c r="L53" i="10"/>
  <c r="M53" i="10" s="1"/>
  <c r="L54" i="10"/>
  <c r="M54" i="10" s="1"/>
  <c r="L51" i="10"/>
  <c r="M51" i="10" s="1"/>
  <c r="L52" i="10"/>
  <c r="M52" i="10" s="1"/>
  <c r="L55" i="10"/>
  <c r="M55" i="10" s="1"/>
  <c r="X50" i="10"/>
  <c r="Y50" i="10" s="1"/>
  <c r="D8" i="24"/>
  <c r="U50" i="10"/>
  <c r="S5" i="14"/>
  <c r="T5" i="14" s="1"/>
  <c r="AH6" i="14" s="1"/>
  <c r="T3" i="14"/>
  <c r="T4" i="14"/>
  <c r="E8" i="24"/>
  <c r="E34" i="24" s="1"/>
  <c r="G50" i="10"/>
  <c r="I50" i="10" s="1"/>
  <c r="AR50" i="10" s="1"/>
  <c r="G45" i="10"/>
  <c r="I45" i="10" s="1"/>
  <c r="AR45" i="10" s="1"/>
  <c r="G44" i="10"/>
  <c r="I44" i="10" s="1"/>
  <c r="AR44" i="10" s="1"/>
  <c r="G102" i="3"/>
  <c r="I102" i="3" s="1"/>
  <c r="AR102" i="3" s="1"/>
  <c r="G43" i="10"/>
  <c r="I43" i="10" s="1"/>
  <c r="AR43" i="10" s="1"/>
  <c r="G39" i="10"/>
  <c r="I39" i="10" s="1"/>
  <c r="AR39" i="10" s="1"/>
  <c r="G42" i="10"/>
  <c r="I42" i="10" s="1"/>
  <c r="AR42" i="10" s="1"/>
  <c r="G101" i="3"/>
  <c r="I101" i="3" s="1"/>
  <c r="AR101" i="3" s="1"/>
  <c r="G38" i="10"/>
  <c r="I38" i="10" s="1"/>
  <c r="AR38" i="10" s="1"/>
  <c r="G52" i="10"/>
  <c r="I52" i="10" s="1"/>
  <c r="AR52" i="10" s="1"/>
  <c r="G100" i="3"/>
  <c r="I100" i="3" s="1"/>
  <c r="AR100" i="3" s="1"/>
  <c r="G99" i="3"/>
  <c r="I99" i="3" s="1"/>
  <c r="AR99" i="3" s="1"/>
  <c r="G17" i="14"/>
  <c r="I17" i="14" s="1"/>
  <c r="AR17" i="14" s="1"/>
  <c r="G26" i="3"/>
  <c r="I26" i="3" s="1"/>
  <c r="AR26" i="3" s="1"/>
  <c r="G27" i="3"/>
  <c r="I27" i="3" s="1"/>
  <c r="AR27" i="3" s="1"/>
  <c r="G71" i="3"/>
  <c r="I71" i="3" s="1"/>
  <c r="AR71" i="3" s="1"/>
  <c r="G72" i="3"/>
  <c r="I72" i="3" s="1"/>
  <c r="AR72" i="3" s="1"/>
  <c r="G13" i="14"/>
  <c r="I13" i="14" s="1"/>
  <c r="AR13" i="14" s="1"/>
  <c r="G43" i="3"/>
  <c r="I43" i="3" s="1"/>
  <c r="AR43" i="3" s="1"/>
  <c r="G70" i="3"/>
  <c r="I70" i="3" s="1"/>
  <c r="AR70" i="3" s="1"/>
  <c r="G24" i="3"/>
  <c r="I24" i="3" s="1"/>
  <c r="AR24" i="3" s="1"/>
  <c r="G94" i="3"/>
  <c r="I94" i="3" s="1"/>
  <c r="AR94" i="3" s="1"/>
  <c r="G25" i="3"/>
  <c r="I25" i="3" s="1"/>
  <c r="AR25" i="3" s="1"/>
  <c r="G14" i="14"/>
  <c r="I14" i="14" s="1"/>
  <c r="AR14" i="14" s="1"/>
  <c r="J16" i="13" s="1"/>
  <c r="G6" i="14"/>
  <c r="I6" i="14" s="1"/>
  <c r="G18" i="14"/>
  <c r="I18" i="14" s="1"/>
  <c r="AR18" i="14" s="1"/>
  <c r="G28" i="3"/>
  <c r="I28" i="3" s="1"/>
  <c r="AR28" i="3" s="1"/>
  <c r="G8" i="14"/>
  <c r="I8" i="14" s="1"/>
  <c r="AR8" i="14" s="1"/>
  <c r="G108" i="3"/>
  <c r="I108" i="3" s="1"/>
  <c r="AR108" i="3" s="1"/>
  <c r="G82" i="3"/>
  <c r="I82" i="3" s="1"/>
  <c r="AR82" i="3" s="1"/>
  <c r="G113" i="3"/>
  <c r="I113" i="3" s="1"/>
  <c r="AR113" i="3" s="1"/>
  <c r="G54" i="10"/>
  <c r="I54" i="10" s="1"/>
  <c r="AR54" i="10" s="1"/>
  <c r="G32" i="3"/>
  <c r="I32" i="3" s="1"/>
  <c r="AR32" i="3" s="1"/>
  <c r="G84" i="3"/>
  <c r="I84" i="3" s="1"/>
  <c r="AR84" i="3" s="1"/>
  <c r="G55" i="10"/>
  <c r="I55" i="10" s="1"/>
  <c r="AR55" i="10" s="1"/>
  <c r="G62" i="3"/>
  <c r="I62" i="3" s="1"/>
  <c r="AR62" i="3" s="1"/>
  <c r="G36" i="3"/>
  <c r="I36" i="3" s="1"/>
  <c r="AR36" i="3" s="1"/>
  <c r="G121" i="3"/>
  <c r="I121" i="3" s="1"/>
  <c r="AR121" i="3" s="1"/>
  <c r="G122" i="3"/>
  <c r="I122" i="3" s="1"/>
  <c r="AR122" i="3" s="1"/>
  <c r="G89" i="3"/>
  <c r="I89" i="3" s="1"/>
  <c r="AR89" i="3" s="1"/>
  <c r="G64" i="3"/>
  <c r="I64" i="3" s="1"/>
  <c r="AR64" i="3" s="1"/>
  <c r="G13" i="3"/>
  <c r="I13" i="3" s="1"/>
  <c r="AR13" i="3" s="1"/>
  <c r="G78" i="3"/>
  <c r="I78" i="3" s="1"/>
  <c r="AR78" i="3" s="1"/>
  <c r="G40" i="3"/>
  <c r="I40" i="3" s="1"/>
  <c r="AR40" i="3" s="1"/>
  <c r="G50" i="3"/>
  <c r="I50" i="3" s="1"/>
  <c r="AR50" i="3" s="1"/>
  <c r="G56" i="3"/>
  <c r="I56" i="3" s="1"/>
  <c r="AR56" i="3" s="1"/>
  <c r="G83" i="3"/>
  <c r="I83" i="3" s="1"/>
  <c r="AR83" i="3" s="1"/>
  <c r="G115" i="3"/>
  <c r="I115" i="3" s="1"/>
  <c r="AR115" i="3" s="1"/>
  <c r="G76" i="3"/>
  <c r="I76" i="3" s="1"/>
  <c r="AR76" i="3" s="1"/>
  <c r="G14" i="3"/>
  <c r="I14" i="3" s="1"/>
  <c r="AR14" i="3" s="1"/>
  <c r="G33" i="3"/>
  <c r="I33" i="3" s="1"/>
  <c r="AR33" i="3" s="1"/>
  <c r="G97" i="3"/>
  <c r="I97" i="3" s="1"/>
  <c r="AR97" i="3" s="1"/>
  <c r="G39" i="3"/>
  <c r="I39" i="3" s="1"/>
  <c r="AR39" i="3" s="1"/>
  <c r="G107" i="3"/>
  <c r="I107" i="3" s="1"/>
  <c r="AR107" i="3" s="1"/>
  <c r="G29" i="3"/>
  <c r="I29" i="3" s="1"/>
  <c r="AR29" i="3" s="1"/>
  <c r="G98" i="3"/>
  <c r="I98" i="3" s="1"/>
  <c r="AR98" i="3" s="1"/>
  <c r="G53" i="3"/>
  <c r="I53" i="3" s="1"/>
  <c r="AR53" i="3" s="1"/>
  <c r="G61" i="3"/>
  <c r="I61" i="3" s="1"/>
  <c r="AR61" i="3" s="1"/>
  <c r="G88" i="3"/>
  <c r="I88" i="3" s="1"/>
  <c r="AR88" i="3" s="1"/>
  <c r="G54" i="3"/>
  <c r="I54" i="3" s="1"/>
  <c r="AR54" i="3" s="1"/>
  <c r="G109" i="3"/>
  <c r="I109" i="3" s="1"/>
  <c r="AR109" i="3" s="1"/>
  <c r="G42" i="3"/>
  <c r="I42" i="3" s="1"/>
  <c r="AR42" i="3" s="1"/>
  <c r="G47" i="3"/>
  <c r="I47" i="3" s="1"/>
  <c r="AR47" i="3" s="1"/>
  <c r="G112" i="3"/>
  <c r="I112" i="3" s="1"/>
  <c r="AR112" i="3" s="1"/>
  <c r="G93" i="3"/>
  <c r="I93" i="3" s="1"/>
  <c r="AR93" i="3" s="1"/>
  <c r="G103" i="3"/>
  <c r="I103" i="3" s="1"/>
  <c r="AR103" i="3" s="1"/>
  <c r="G11" i="3"/>
  <c r="I11" i="3" s="1"/>
  <c r="AR11" i="3" s="1"/>
  <c r="G46" i="3"/>
  <c r="I46" i="3" s="1"/>
  <c r="AR46" i="3" s="1"/>
  <c r="G12" i="3"/>
  <c r="I12" i="3" s="1"/>
  <c r="AR12" i="3" s="1"/>
  <c r="G77" i="3"/>
  <c r="I77" i="3" s="1"/>
  <c r="AR77" i="3" s="1"/>
  <c r="G20" i="3"/>
  <c r="I20" i="3" s="1"/>
  <c r="AR20" i="3" s="1"/>
  <c r="G65" i="3"/>
  <c r="I65" i="3" s="1"/>
  <c r="AR65" i="3" s="1"/>
  <c r="G14" i="10"/>
  <c r="I14" i="10" s="1"/>
  <c r="AR14" i="10" s="1"/>
  <c r="G15" i="3"/>
  <c r="I15" i="3" s="1"/>
  <c r="AR15" i="3" s="1"/>
  <c r="G21" i="3"/>
  <c r="I21" i="3" s="1"/>
  <c r="AR21" i="3" s="1"/>
  <c r="G17" i="10"/>
  <c r="I17" i="10" s="1"/>
  <c r="AR17" i="10" s="1"/>
  <c r="G6" i="10"/>
  <c r="I6" i="10" s="1"/>
  <c r="AR6" i="10" s="1"/>
  <c r="G18" i="10"/>
  <c r="I18" i="10" s="1"/>
  <c r="AR18" i="10" s="1"/>
  <c r="G40" i="10"/>
  <c r="I40" i="10" s="1"/>
  <c r="AR40" i="10" s="1"/>
  <c r="G32" i="10"/>
  <c r="I32" i="10" s="1"/>
  <c r="AR32" i="10" s="1"/>
  <c r="G22" i="3"/>
  <c r="I22" i="3" s="1"/>
  <c r="AR22" i="3" s="1"/>
  <c r="G5" i="10"/>
  <c r="I5" i="10" s="1"/>
  <c r="AR5" i="10" s="1"/>
  <c r="G16" i="3"/>
  <c r="I16" i="3" s="1"/>
  <c r="AR16" i="3" s="1"/>
  <c r="G30" i="10"/>
  <c r="I30" i="10" s="1"/>
  <c r="AR30" i="10" s="1"/>
  <c r="G4" i="10"/>
  <c r="I4" i="10" s="1"/>
  <c r="AR4" i="10" s="1"/>
  <c r="G22" i="10"/>
  <c r="I22" i="10" s="1"/>
  <c r="AR22" i="10" s="1"/>
  <c r="G23" i="10"/>
  <c r="I23" i="10" s="1"/>
  <c r="AR23" i="10" s="1"/>
  <c r="J16" i="12" s="1"/>
  <c r="G18" i="3"/>
  <c r="I18" i="3" s="1"/>
  <c r="AR18" i="3" s="1"/>
  <c r="G24" i="10"/>
  <c r="I24" i="10" s="1"/>
  <c r="AR24" i="10" s="1"/>
  <c r="G66" i="3"/>
  <c r="I66" i="3" s="1"/>
  <c r="AR66" i="3" s="1"/>
  <c r="G20" i="10"/>
  <c r="I20" i="10" s="1"/>
  <c r="AR20" i="10" s="1"/>
  <c r="G19" i="3"/>
  <c r="I19" i="3" s="1"/>
  <c r="AR19" i="3" s="1"/>
  <c r="G21" i="10"/>
  <c r="I21" i="10" s="1"/>
  <c r="AR21" i="10" s="1"/>
  <c r="G33" i="10"/>
  <c r="I33" i="10" s="1"/>
  <c r="AR33" i="10" s="1"/>
  <c r="G17" i="3"/>
  <c r="I17" i="3" s="1"/>
  <c r="AR17" i="3" s="1"/>
  <c r="G68" i="3"/>
  <c r="I68" i="3" s="1"/>
  <c r="AR68" i="3" s="1"/>
  <c r="G9" i="10"/>
  <c r="I9" i="10" s="1"/>
  <c r="AR9" i="10" s="1"/>
  <c r="G15" i="10"/>
  <c r="I15" i="10" s="1"/>
  <c r="AR15" i="10" s="1"/>
  <c r="G8" i="10"/>
  <c r="I8" i="10" s="1"/>
  <c r="AR8" i="10" s="1"/>
  <c r="G23" i="3"/>
  <c r="I23" i="3" s="1"/>
  <c r="AR23" i="3" s="1"/>
  <c r="G31" i="10"/>
  <c r="I31" i="10" s="1"/>
  <c r="AR31" i="10" s="1"/>
  <c r="G19" i="10"/>
  <c r="I19" i="10" s="1"/>
  <c r="AR19" i="10" s="1"/>
  <c r="G69" i="3"/>
  <c r="I69" i="3" s="1"/>
  <c r="AR69" i="3" s="1"/>
  <c r="G16" i="10"/>
  <c r="I16" i="10" s="1"/>
  <c r="AR16" i="10" s="1"/>
  <c r="G7" i="10"/>
  <c r="I7" i="10" s="1"/>
  <c r="AR7" i="10" s="1"/>
  <c r="G67" i="3"/>
  <c r="I67" i="3" s="1"/>
  <c r="AR67" i="3" s="1"/>
  <c r="G15" i="14"/>
  <c r="I15" i="14" s="1"/>
  <c r="AR15" i="14" s="1"/>
  <c r="G9" i="14"/>
  <c r="I9" i="14" s="1"/>
  <c r="AR9" i="14" s="1"/>
  <c r="J22" i="13" s="1"/>
  <c r="G34" i="10"/>
  <c r="I34" i="10" s="1"/>
  <c r="AR34" i="10" s="1"/>
  <c r="G47" i="10"/>
  <c r="I47" i="10" s="1"/>
  <c r="AR47" i="10" s="1"/>
  <c r="G11" i="10"/>
  <c r="I11" i="10" s="1"/>
  <c r="AR11" i="10" s="1"/>
  <c r="G51" i="10"/>
  <c r="I51" i="10" s="1"/>
  <c r="AR51" i="10" s="1"/>
  <c r="G46" i="10"/>
  <c r="I46" i="10" s="1"/>
  <c r="AR46" i="10" s="1"/>
  <c r="G35" i="10"/>
  <c r="I35" i="10" s="1"/>
  <c r="AR35" i="10" s="1"/>
  <c r="G41" i="10"/>
  <c r="I41" i="10" s="1"/>
  <c r="AR41" i="10" s="1"/>
  <c r="G29" i="10"/>
  <c r="I29" i="10" s="1"/>
  <c r="AR29" i="10" s="1"/>
  <c r="G27" i="10"/>
  <c r="I27" i="10" s="1"/>
  <c r="AR27" i="10" s="1"/>
  <c r="G49" i="10"/>
  <c r="I49" i="10" s="1"/>
  <c r="AR49" i="10" s="1"/>
  <c r="G10" i="10"/>
  <c r="I10" i="10" s="1"/>
  <c r="AR10" i="10" s="1"/>
  <c r="G48" i="10"/>
  <c r="I48" i="10" s="1"/>
  <c r="AR48" i="10" s="1"/>
  <c r="G37" i="10"/>
  <c r="I37" i="10" s="1"/>
  <c r="AR37" i="10" s="1"/>
  <c r="G56" i="10"/>
  <c r="I56" i="10" s="1"/>
  <c r="AR56" i="10" s="1"/>
  <c r="G25" i="10"/>
  <c r="I25" i="10" s="1"/>
  <c r="AR25" i="10" s="1"/>
  <c r="G13" i="10"/>
  <c r="I13" i="10" s="1"/>
  <c r="AR13" i="10" s="1"/>
  <c r="G80" i="3"/>
  <c r="I80" i="3" s="1"/>
  <c r="AR80" i="3" s="1"/>
  <c r="G86" i="3"/>
  <c r="I86" i="3" s="1"/>
  <c r="AR86" i="3" s="1"/>
  <c r="G53" i="10"/>
  <c r="I53" i="10" s="1"/>
  <c r="AR53" i="10" s="1"/>
  <c r="G41" i="3"/>
  <c r="I41" i="3" s="1"/>
  <c r="AR41" i="3" s="1"/>
  <c r="G92" i="3"/>
  <c r="I92" i="3" s="1"/>
  <c r="AR92" i="3" s="1"/>
  <c r="G30" i="3"/>
  <c r="I30" i="3" s="1"/>
  <c r="AR30" i="3" s="1"/>
  <c r="G110" i="3"/>
  <c r="I110" i="3" s="1"/>
  <c r="AR110" i="3" s="1"/>
  <c r="G51" i="3"/>
  <c r="I51" i="3" s="1"/>
  <c r="AR51" i="3" s="1"/>
  <c r="G114" i="3"/>
  <c r="I114" i="3" s="1"/>
  <c r="AR114" i="3" s="1"/>
  <c r="G63" i="3"/>
  <c r="I63" i="3" s="1"/>
  <c r="AR63" i="3" s="1"/>
  <c r="G3" i="10"/>
  <c r="I3" i="10" s="1"/>
  <c r="AR3" i="10" s="1"/>
  <c r="G37" i="3"/>
  <c r="I37" i="3" s="1"/>
  <c r="AR37" i="3" s="1"/>
  <c r="G73" i="3"/>
  <c r="I73" i="3" s="1"/>
  <c r="AR73" i="3" s="1"/>
  <c r="G26" i="10"/>
  <c r="I26" i="10" s="1"/>
  <c r="AR26" i="10" s="1"/>
  <c r="G10" i="3"/>
  <c r="I10" i="3" s="1"/>
  <c r="AR10" i="3" s="1"/>
  <c r="G95" i="3"/>
  <c r="I95" i="3" s="1"/>
  <c r="AR95" i="3" s="1"/>
  <c r="G44" i="3"/>
  <c r="I44" i="3" s="1"/>
  <c r="AR44" i="3" s="1"/>
  <c r="G104" i="3"/>
  <c r="I104" i="3" s="1"/>
  <c r="AR104" i="3" s="1"/>
  <c r="G12" i="10"/>
  <c r="I12" i="10" s="1"/>
  <c r="AR12" i="10" s="1"/>
  <c r="G36" i="10"/>
  <c r="I36" i="10" s="1"/>
  <c r="AR36" i="10" s="1"/>
  <c r="G12" i="14"/>
  <c r="I12" i="14" s="1"/>
  <c r="AR12" i="14" s="1"/>
  <c r="G118" i="3"/>
  <c r="I118" i="3" s="1"/>
  <c r="AR118" i="3" s="1"/>
  <c r="G57" i="3"/>
  <c r="I57" i="3" s="1"/>
  <c r="AR57" i="3" s="1"/>
  <c r="G3" i="3"/>
  <c r="I3" i="3" s="1"/>
  <c r="AR3" i="3" s="1"/>
  <c r="G16" i="14"/>
  <c r="I16" i="14" s="1"/>
  <c r="AR16" i="14" s="1"/>
  <c r="G28" i="10"/>
  <c r="I28" i="10" s="1"/>
  <c r="AR28" i="10" s="1"/>
  <c r="G7" i="14"/>
  <c r="I7" i="14" s="1"/>
  <c r="AR7" i="14" s="1"/>
  <c r="X3" i="3"/>
  <c r="U3" i="3"/>
  <c r="D6" i="23"/>
  <c r="C6" i="23"/>
  <c r="J8" i="5"/>
  <c r="I8" i="5"/>
  <c r="I8" i="24" s="1"/>
  <c r="H8" i="5"/>
  <c r="AG45" i="10" s="1"/>
  <c r="C6" i="7"/>
  <c r="D6" i="7" s="1"/>
  <c r="E6" i="7"/>
  <c r="C6" i="12"/>
  <c r="D6" i="12" s="1"/>
  <c r="J7" i="13" l="1"/>
  <c r="J12" i="13"/>
  <c r="J10" i="12"/>
  <c r="J17" i="12"/>
  <c r="J20" i="12"/>
  <c r="J9" i="13"/>
  <c r="J15" i="13"/>
  <c r="J21" i="12"/>
  <c r="Q50" i="10"/>
  <c r="Q45" i="10"/>
  <c r="R50" i="10"/>
  <c r="R45" i="10"/>
  <c r="AB5" i="14"/>
  <c r="AC5" i="14" s="1"/>
  <c r="AB6" i="14"/>
  <c r="AB4" i="14"/>
  <c r="AC4" i="14" s="1"/>
  <c r="Q55" i="10"/>
  <c r="AS55" i="10"/>
  <c r="Q51" i="10"/>
  <c r="AS51" i="10"/>
  <c r="AS54" i="10"/>
  <c r="Q54" i="10"/>
  <c r="Q53" i="10"/>
  <c r="AS53" i="10"/>
  <c r="Q52" i="10"/>
  <c r="AS52" i="10"/>
  <c r="Q56" i="10"/>
  <c r="AS56" i="10"/>
  <c r="J6" i="12"/>
  <c r="V3" i="10"/>
  <c r="V4" i="10"/>
  <c r="AG50" i="10"/>
  <c r="Y42" i="10"/>
  <c r="Y43" i="10"/>
  <c r="Y13" i="10"/>
  <c r="Y26" i="10"/>
  <c r="Y16" i="10"/>
  <c r="Y32" i="10"/>
  <c r="Y19" i="10"/>
  <c r="Y10" i="10"/>
  <c r="Y35" i="10"/>
  <c r="Y14" i="10"/>
  <c r="Y3" i="10"/>
  <c r="Y8" i="10"/>
  <c r="Y21" i="10"/>
  <c r="Y29" i="10"/>
  <c r="Y4" i="10"/>
  <c r="Y20" i="10"/>
  <c r="Y36" i="10"/>
  <c r="Y23" i="10"/>
  <c r="Y47" i="10"/>
  <c r="Y6" i="10"/>
  <c r="Y30" i="10"/>
  <c r="Y40" i="10"/>
  <c r="Y28" i="10"/>
  <c r="Y15" i="10"/>
  <c r="Y45" i="10"/>
  <c r="Y18" i="10"/>
  <c r="Y34" i="10"/>
  <c r="Y46" i="10"/>
  <c r="Y5" i="10"/>
  <c r="Y12" i="10"/>
  <c r="Y51" i="10"/>
  <c r="Y17" i="10"/>
  <c r="Y33" i="10"/>
  <c r="Y11" i="10"/>
  <c r="Y27" i="10"/>
  <c r="Y44" i="10"/>
  <c r="Y39" i="10"/>
  <c r="Y48" i="10"/>
  <c r="Y22" i="10"/>
  <c r="Y9" i="10"/>
  <c r="Y25" i="10"/>
  <c r="Y41" i="10"/>
  <c r="Y49" i="10"/>
  <c r="Y24" i="10"/>
  <c r="Y31" i="10"/>
  <c r="Y37" i="10"/>
  <c r="Y7" i="10"/>
  <c r="Y38" i="10"/>
  <c r="J6" i="14"/>
  <c r="S6" i="14" s="1"/>
  <c r="AR6" i="14"/>
  <c r="J11" i="13" s="1"/>
  <c r="Z5" i="14"/>
  <c r="AF5" i="14"/>
  <c r="Z4" i="14"/>
  <c r="AF4" i="14"/>
  <c r="AH5" i="14"/>
  <c r="AI5" i="14" s="1"/>
  <c r="AH4" i="14"/>
  <c r="AI4" i="14" s="1"/>
  <c r="Z3" i="14"/>
  <c r="AC3" i="14"/>
  <c r="AF3" i="14"/>
  <c r="W3" i="14"/>
  <c r="AI3" i="14"/>
  <c r="V6" i="14"/>
  <c r="V5" i="14"/>
  <c r="W5" i="14" s="1"/>
  <c r="V4" i="14"/>
  <c r="W4" i="14" s="1"/>
  <c r="J7" i="14"/>
  <c r="J4" i="10"/>
  <c r="AG3" i="3"/>
  <c r="R3" i="3"/>
  <c r="D27" i="7"/>
  <c r="D26" i="23"/>
  <c r="D34" i="24"/>
  <c r="H8" i="24"/>
  <c r="C26" i="23"/>
  <c r="F6" i="7"/>
  <c r="C26" i="12"/>
  <c r="D27" i="12"/>
  <c r="C26" i="13"/>
  <c r="D6" i="13"/>
  <c r="D27" i="13" s="1"/>
  <c r="F6" i="13"/>
  <c r="C26" i="7"/>
  <c r="J13" i="12" l="1"/>
  <c r="J18" i="12"/>
  <c r="AJ4" i="14"/>
  <c r="AL4" i="14" s="1"/>
  <c r="AJ3" i="14"/>
  <c r="AK3" i="14" s="1"/>
  <c r="AJ5" i="14"/>
  <c r="AL5" i="14" s="1"/>
  <c r="T6" i="14"/>
  <c r="S7" i="14"/>
  <c r="S4" i="10"/>
  <c r="J5" i="10"/>
  <c r="J8" i="14"/>
  <c r="J34" i="24"/>
  <c r="I34" i="24"/>
  <c r="C34" i="24"/>
  <c r="H34" i="24"/>
  <c r="J26" i="12" l="1"/>
  <c r="J26" i="13"/>
  <c r="AH7" i="14"/>
  <c r="AB7" i="14"/>
  <c r="AL3" i="14"/>
  <c r="AN3" i="14" s="1"/>
  <c r="AK5" i="14"/>
  <c r="AK4" i="14"/>
  <c r="S8" i="14"/>
  <c r="AN5" i="14"/>
  <c r="AP5" i="14" s="1"/>
  <c r="Z6" i="14"/>
  <c r="AF6" i="14"/>
  <c r="W6" i="14"/>
  <c r="AI6" i="14"/>
  <c r="AC6" i="14"/>
  <c r="V7" i="14"/>
  <c r="T7" i="14"/>
  <c r="AH8" i="14" s="1"/>
  <c r="AN4" i="14"/>
  <c r="AP4" i="14" s="1"/>
  <c r="T4" i="10"/>
  <c r="S5" i="10"/>
  <c r="T5" i="10" s="1"/>
  <c r="J6" i="10"/>
  <c r="J9" i="14"/>
  <c r="AP3" i="14" l="1"/>
  <c r="AB8" i="14"/>
  <c r="AT4" i="14"/>
  <c r="AQ4" i="14"/>
  <c r="AU4" i="14"/>
  <c r="AV4" i="14"/>
  <c r="AT5" i="14"/>
  <c r="AQ5" i="14"/>
  <c r="AU5" i="14"/>
  <c r="AV5" i="14"/>
  <c r="Z7" i="14"/>
  <c r="AC7" i="14"/>
  <c r="AF7" i="14"/>
  <c r="W7" i="14"/>
  <c r="AI7" i="14"/>
  <c r="AJ6" i="14"/>
  <c r="S9" i="14"/>
  <c r="AT3" i="14"/>
  <c r="AQ3" i="14"/>
  <c r="AU3" i="14"/>
  <c r="AV3" i="14"/>
  <c r="AO6" i="14"/>
  <c r="AO5" i="14"/>
  <c r="AO4" i="14"/>
  <c r="V8" i="14"/>
  <c r="T8" i="14"/>
  <c r="AC5" i="10"/>
  <c r="Z5" i="10"/>
  <c r="AF5" i="10"/>
  <c r="S6" i="10"/>
  <c r="T6" i="10" s="1"/>
  <c r="AC4" i="10"/>
  <c r="AI4" i="10"/>
  <c r="Z4" i="10"/>
  <c r="AH6" i="10"/>
  <c r="AH5" i="10"/>
  <c r="AI5" i="10" s="1"/>
  <c r="W4" i="10"/>
  <c r="V5" i="10"/>
  <c r="W5" i="10" s="1"/>
  <c r="V6" i="10"/>
  <c r="AF4" i="10"/>
  <c r="J7" i="10"/>
  <c r="AH10" i="14" l="1"/>
  <c r="AI10" i="14" s="1"/>
  <c r="AH9" i="14"/>
  <c r="AB10" i="14"/>
  <c r="AC10" i="14" s="1"/>
  <c r="AB9" i="14"/>
  <c r="AJ5" i="10"/>
  <c r="AK5" i="10" s="1"/>
  <c r="AW3" i="14"/>
  <c r="AJ7" i="14"/>
  <c r="AL7" i="14" s="1"/>
  <c r="AW4" i="14"/>
  <c r="AX3" i="14"/>
  <c r="AX5" i="14"/>
  <c r="AW5" i="14"/>
  <c r="AX4" i="14"/>
  <c r="AL6" i="14"/>
  <c r="AK6" i="14"/>
  <c r="V9" i="14"/>
  <c r="AB17" i="14"/>
  <c r="Z8" i="14"/>
  <c r="AI8" i="14"/>
  <c r="AC8" i="14"/>
  <c r="AF8" i="14"/>
  <c r="W8" i="14"/>
  <c r="T9" i="14"/>
  <c r="V10" i="14" s="1"/>
  <c r="W10" i="14" s="1"/>
  <c r="AC6" i="10"/>
  <c r="AI6" i="10"/>
  <c r="Z6" i="10"/>
  <c r="W6" i="10"/>
  <c r="AF6" i="10"/>
  <c r="V7" i="10"/>
  <c r="AH7" i="10"/>
  <c r="S7" i="10"/>
  <c r="AJ4" i="10"/>
  <c r="J11" i="14"/>
  <c r="J9" i="10"/>
  <c r="AJ10" i="14" l="1"/>
  <c r="AB15" i="14"/>
  <c r="AB18" i="14"/>
  <c r="AB13" i="14"/>
  <c r="AB12" i="14"/>
  <c r="AB14" i="14"/>
  <c r="AB16" i="14"/>
  <c r="AB11" i="14"/>
  <c r="AL5" i="10"/>
  <c r="AN5" i="10" s="1"/>
  <c r="AP5" i="10" s="1"/>
  <c r="AK7" i="14"/>
  <c r="AJ6" i="10"/>
  <c r="AL6" i="10" s="1"/>
  <c r="AJ8" i="14"/>
  <c r="S11" i="14"/>
  <c r="T11" i="14" s="1"/>
  <c r="AH12" i="14" s="1"/>
  <c r="Z9" i="14"/>
  <c r="AF9" i="14"/>
  <c r="W9" i="14"/>
  <c r="AI9" i="14"/>
  <c r="AC9" i="14"/>
  <c r="V11" i="14"/>
  <c r="AN6" i="14"/>
  <c r="AN7" i="14"/>
  <c r="AP7" i="14" s="1"/>
  <c r="AL4" i="10"/>
  <c r="AK4" i="10"/>
  <c r="S9" i="10"/>
  <c r="T7" i="10"/>
  <c r="J10" i="10"/>
  <c r="J12" i="14"/>
  <c r="AP6" i="14" l="1"/>
  <c r="AL10" i="14"/>
  <c r="AK10" i="14"/>
  <c r="AK6" i="10"/>
  <c r="AJ9" i="14"/>
  <c r="AL9" i="14" s="1"/>
  <c r="Z11" i="14"/>
  <c r="AI11" i="14"/>
  <c r="AC11" i="14"/>
  <c r="AF11" i="14"/>
  <c r="W11" i="14"/>
  <c r="AT7" i="14"/>
  <c r="AQ7" i="14"/>
  <c r="AU7" i="14"/>
  <c r="AV7" i="14"/>
  <c r="AO7" i="14"/>
  <c r="AO8" i="14"/>
  <c r="S12" i="14"/>
  <c r="AT6" i="14"/>
  <c r="AQ6" i="14"/>
  <c r="AU6" i="14"/>
  <c r="AV6" i="14"/>
  <c r="AL8" i="14"/>
  <c r="AK8" i="14"/>
  <c r="S10" i="10"/>
  <c r="T10" i="10" s="1"/>
  <c r="T9" i="10"/>
  <c r="AC7" i="10"/>
  <c r="AI7" i="10"/>
  <c r="Z7" i="10"/>
  <c r="W7" i="10"/>
  <c r="AF7" i="10"/>
  <c r="AH8" i="10"/>
  <c r="V8" i="10"/>
  <c r="AT5" i="10"/>
  <c r="AQ5" i="10"/>
  <c r="AU5" i="10"/>
  <c r="AV5" i="10"/>
  <c r="AN6" i="10"/>
  <c r="AP6" i="10" s="1"/>
  <c r="AN4" i="10"/>
  <c r="AP4" i="10" s="1"/>
  <c r="J13" i="14"/>
  <c r="AN10" i="14" l="1"/>
  <c r="AP10" i="14" s="1"/>
  <c r="G11" i="13"/>
  <c r="E11" i="13"/>
  <c r="H11" i="13"/>
  <c r="I11" i="13"/>
  <c r="AK9" i="14"/>
  <c r="AW5" i="10"/>
  <c r="AW7" i="14"/>
  <c r="AJ11" i="14"/>
  <c r="AL11" i="14" s="1"/>
  <c r="AW6" i="14"/>
  <c r="S13" i="14"/>
  <c r="AN8" i="14"/>
  <c r="AX6" i="14"/>
  <c r="AX7" i="14"/>
  <c r="AN9" i="14"/>
  <c r="AP9" i="14" s="1"/>
  <c r="T12" i="14"/>
  <c r="AH15" i="14" s="1"/>
  <c r="AC10" i="10"/>
  <c r="AI10" i="10"/>
  <c r="Z10" i="10"/>
  <c r="AH11" i="10"/>
  <c r="AF10" i="10"/>
  <c r="AT6" i="10"/>
  <c r="AQ6" i="10"/>
  <c r="AU6" i="10"/>
  <c r="AV6" i="10"/>
  <c r="AX5" i="10"/>
  <c r="AJ7" i="10"/>
  <c r="AC9" i="10"/>
  <c r="Z9" i="10"/>
  <c r="AF9" i="10"/>
  <c r="AT4" i="10"/>
  <c r="AQ4" i="10"/>
  <c r="AU4" i="10"/>
  <c r="AV4" i="10"/>
  <c r="AO7" i="10"/>
  <c r="AO6" i="10"/>
  <c r="AO5" i="10"/>
  <c r="J14" i="14"/>
  <c r="AQ10" i="14" l="1"/>
  <c r="AU10" i="14"/>
  <c r="AT10" i="14"/>
  <c r="AV10" i="14"/>
  <c r="AP8" i="14"/>
  <c r="AT8" i="14" s="1"/>
  <c r="AO10" i="14"/>
  <c r="F11" i="13"/>
  <c r="AK11" i="14"/>
  <c r="AW4" i="10"/>
  <c r="AW6" i="10"/>
  <c r="AQ8" i="14"/>
  <c r="AU8" i="14"/>
  <c r="AV8" i="14"/>
  <c r="Z12" i="14"/>
  <c r="AF12" i="14"/>
  <c r="AC12" i="14"/>
  <c r="AI12" i="14"/>
  <c r="AT9" i="14"/>
  <c r="AQ9" i="14"/>
  <c r="E22" i="13" s="1"/>
  <c r="AU9" i="14"/>
  <c r="I22" i="13" s="1"/>
  <c r="AV9" i="14"/>
  <c r="G22" i="13" s="1"/>
  <c r="S14" i="14"/>
  <c r="AN11" i="14"/>
  <c r="AP11" i="14" s="1"/>
  <c r="AO9" i="14"/>
  <c r="T13" i="14"/>
  <c r="AH14" i="14" s="1"/>
  <c r="AX4" i="10"/>
  <c r="AL7" i="10"/>
  <c r="AK7" i="10"/>
  <c r="AX6" i="10"/>
  <c r="J15" i="14"/>
  <c r="H22" i="13" l="1"/>
  <c r="F22" i="13" s="1"/>
  <c r="AW10" i="14"/>
  <c r="AX10" i="14"/>
  <c r="AW8" i="14"/>
  <c r="AW9" i="14"/>
  <c r="AT11" i="14"/>
  <c r="AQ11" i="14"/>
  <c r="AU11" i="14"/>
  <c r="AV11" i="14"/>
  <c r="AX8" i="14"/>
  <c r="S15" i="14"/>
  <c r="AX9" i="14"/>
  <c r="Z13" i="14"/>
  <c r="AF13" i="14"/>
  <c r="AI13" i="14"/>
  <c r="AC13" i="14"/>
  <c r="T14" i="14"/>
  <c r="AN7" i="10"/>
  <c r="AP7" i="10" s="1"/>
  <c r="J16" i="14"/>
  <c r="J14" i="10"/>
  <c r="AW11" i="14" l="1"/>
  <c r="Z14" i="14"/>
  <c r="AF14" i="14"/>
  <c r="AI14" i="14"/>
  <c r="AC14" i="14"/>
  <c r="S16" i="14"/>
  <c r="T16" i="14" s="1"/>
  <c r="AH17" i="14" s="1"/>
  <c r="AX11" i="14"/>
  <c r="T15" i="14"/>
  <c r="AH16" i="14" s="1"/>
  <c r="S14" i="10"/>
  <c r="AO8" i="10"/>
  <c r="AT7" i="10"/>
  <c r="AQ7" i="10"/>
  <c r="AU7" i="10"/>
  <c r="AV7" i="10"/>
  <c r="J17" i="14"/>
  <c r="J15" i="10"/>
  <c r="AX7" i="10" l="1"/>
  <c r="AW7" i="10"/>
  <c r="Z16" i="14"/>
  <c r="AF16" i="14"/>
  <c r="AI16" i="14"/>
  <c r="AC16" i="14"/>
  <c r="S17" i="14"/>
  <c r="T17" i="14" s="1"/>
  <c r="AH18" i="14" s="1"/>
  <c r="Z15" i="14"/>
  <c r="AF15" i="14"/>
  <c r="AI15" i="14"/>
  <c r="AC15" i="14"/>
  <c r="S15" i="10"/>
  <c r="T15" i="10" s="1"/>
  <c r="T14" i="10"/>
  <c r="J18" i="14"/>
  <c r="J16" i="10"/>
  <c r="Z17" i="14" l="1"/>
  <c r="AF17" i="14"/>
  <c r="AI17" i="14"/>
  <c r="AC17" i="14"/>
  <c r="S18" i="14"/>
  <c r="T18" i="14" s="1"/>
  <c r="AC15" i="10"/>
  <c r="Z15" i="10"/>
  <c r="AF15" i="10"/>
  <c r="S16" i="10"/>
  <c r="T16" i="10" s="1"/>
  <c r="AC14" i="10"/>
  <c r="Z14" i="10"/>
  <c r="AF14" i="10"/>
  <c r="J17" i="10"/>
  <c r="Z18" i="14" l="1"/>
  <c r="AF18" i="14"/>
  <c r="AI18" i="14"/>
  <c r="AC18" i="14"/>
  <c r="AC16" i="10"/>
  <c r="Z16" i="10"/>
  <c r="AF16" i="10"/>
  <c r="S17" i="10"/>
  <c r="T17" i="10" s="1"/>
  <c r="J18" i="10"/>
  <c r="AC17" i="10" l="1"/>
  <c r="Z17" i="10"/>
  <c r="AF17" i="10"/>
  <c r="S18" i="10"/>
  <c r="T18" i="10" s="1"/>
  <c r="J19" i="10"/>
  <c r="AC18" i="10" l="1"/>
  <c r="Z18" i="10"/>
  <c r="AF18" i="10"/>
  <c r="S19" i="10"/>
  <c r="T19" i="10" s="1"/>
  <c r="J20" i="10"/>
  <c r="V15" i="14" l="1"/>
  <c r="W15" i="14" s="1"/>
  <c r="AJ15" i="14" s="1"/>
  <c r="V18" i="14"/>
  <c r="W18" i="14" s="1"/>
  <c r="AJ18" i="14" s="1"/>
  <c r="V13" i="14"/>
  <c r="W13" i="14" s="1"/>
  <c r="AJ13" i="14" s="1"/>
  <c r="V16" i="14"/>
  <c r="W16" i="14" s="1"/>
  <c r="AJ16" i="14" s="1"/>
  <c r="V14" i="14"/>
  <c r="W14" i="14" s="1"/>
  <c r="AJ14" i="14" s="1"/>
  <c r="V17" i="14"/>
  <c r="W17" i="14" s="1"/>
  <c r="AJ17" i="14" s="1"/>
  <c r="V12" i="14"/>
  <c r="W12" i="14" s="1"/>
  <c r="AJ12" i="14" s="1"/>
  <c r="S20" i="10"/>
  <c r="AC19" i="10"/>
  <c r="Z19" i="10"/>
  <c r="AF19" i="10"/>
  <c r="J21" i="10"/>
  <c r="AL16" i="14" l="1"/>
  <c r="AK16" i="14"/>
  <c r="AL18" i="14"/>
  <c r="AK18" i="14"/>
  <c r="AL12" i="14"/>
  <c r="AK12" i="14"/>
  <c r="AL17" i="14"/>
  <c r="AK17" i="14"/>
  <c r="AL15" i="14"/>
  <c r="AK15" i="14"/>
  <c r="AL14" i="14"/>
  <c r="AK14" i="14"/>
  <c r="AL13" i="14"/>
  <c r="AK13" i="14"/>
  <c r="S21" i="10"/>
  <c r="T21" i="10" s="1"/>
  <c r="T20" i="10"/>
  <c r="J22" i="10"/>
  <c r="AN12" i="14" l="1"/>
  <c r="AP12" i="14" s="1"/>
  <c r="AN14" i="14"/>
  <c r="AP14" i="14" s="1"/>
  <c r="AN13" i="14"/>
  <c r="AP13" i="14" s="1"/>
  <c r="AN18" i="14"/>
  <c r="AP18" i="14" s="1"/>
  <c r="AN17" i="14"/>
  <c r="AP17" i="14" s="1"/>
  <c r="AN15" i="14"/>
  <c r="AP15" i="14" s="1"/>
  <c r="AN16" i="14"/>
  <c r="AP16" i="14" s="1"/>
  <c r="AC21" i="10"/>
  <c r="Z21" i="10"/>
  <c r="AF21" i="10"/>
  <c r="S22" i="10"/>
  <c r="T22" i="10" s="1"/>
  <c r="AC20" i="10"/>
  <c r="Z20" i="10"/>
  <c r="AF20" i="10"/>
  <c r="J23" i="10"/>
  <c r="AV12" i="14" l="1"/>
  <c r="AT12" i="14"/>
  <c r="AQ12" i="14"/>
  <c r="AU12" i="14"/>
  <c r="AT17" i="14"/>
  <c r="AQ17" i="14"/>
  <c r="AU17" i="14"/>
  <c r="AV17" i="14"/>
  <c r="AT15" i="14"/>
  <c r="AQ15" i="14"/>
  <c r="AU15" i="14"/>
  <c r="AV15" i="14"/>
  <c r="AT18" i="14"/>
  <c r="AQ18" i="14"/>
  <c r="AU18" i="14"/>
  <c r="AV18" i="14"/>
  <c r="AO11" i="14"/>
  <c r="AO17" i="14"/>
  <c r="AO15" i="14"/>
  <c r="AO13" i="14"/>
  <c r="AO12" i="14"/>
  <c r="AO16" i="14"/>
  <c r="AO18" i="14"/>
  <c r="AO14" i="14"/>
  <c r="AT13" i="14"/>
  <c r="H7" i="13" s="1"/>
  <c r="AQ13" i="14"/>
  <c r="E7" i="13" s="1"/>
  <c r="AU13" i="14"/>
  <c r="AV13" i="14"/>
  <c r="G7" i="13" s="1"/>
  <c r="AT14" i="14"/>
  <c r="H16" i="13" s="1"/>
  <c r="AQ14" i="14"/>
  <c r="E16" i="13" s="1"/>
  <c r="AU14" i="14"/>
  <c r="I16" i="13" s="1"/>
  <c r="AV14" i="14"/>
  <c r="G16" i="13" s="1"/>
  <c r="AT16" i="14"/>
  <c r="AQ16" i="14"/>
  <c r="AU16" i="14"/>
  <c r="AV16" i="14"/>
  <c r="H9" i="13"/>
  <c r="E9" i="13"/>
  <c r="I9" i="13"/>
  <c r="G9" i="13"/>
  <c r="AC22" i="10"/>
  <c r="AF22" i="10"/>
  <c r="Z22" i="10"/>
  <c r="S23" i="10"/>
  <c r="T23" i="10" s="1"/>
  <c r="I7" i="13" l="1"/>
  <c r="F7" i="13" s="1"/>
  <c r="H12" i="13"/>
  <c r="I12" i="13"/>
  <c r="E12" i="13"/>
  <c r="F9" i="13"/>
  <c r="F16" i="13"/>
  <c r="G12" i="13"/>
  <c r="AW12" i="14"/>
  <c r="AX12" i="14"/>
  <c r="AW17" i="14"/>
  <c r="AW14" i="14"/>
  <c r="AX18" i="14"/>
  <c r="AW18" i="14"/>
  <c r="AW15" i="14"/>
  <c r="AX16" i="14"/>
  <c r="AW13" i="14"/>
  <c r="AX15" i="14"/>
  <c r="AX14" i="14"/>
  <c r="AX17" i="14"/>
  <c r="AW16" i="14"/>
  <c r="AX13" i="14"/>
  <c r="AC23" i="10"/>
  <c r="AF23" i="10"/>
  <c r="Z23" i="10"/>
  <c r="F12" i="13" l="1"/>
  <c r="L3" i="3"/>
  <c r="M3" i="3" s="1"/>
  <c r="J28" i="10" l="1"/>
  <c r="S28" i="10" l="1"/>
  <c r="T28" i="10" l="1"/>
  <c r="J30" i="10"/>
  <c r="S30" i="10" l="1"/>
  <c r="Z28" i="10"/>
  <c r="AF28" i="10"/>
  <c r="AC28" i="10"/>
  <c r="AB4" i="3"/>
  <c r="AE4" i="3"/>
  <c r="J31" i="10"/>
  <c r="L4" i="3"/>
  <c r="M4" i="3" s="1"/>
  <c r="S31" i="10" l="1"/>
  <c r="T31" i="10" s="1"/>
  <c r="T30" i="10"/>
  <c r="AB5" i="3"/>
  <c r="AE5" i="3"/>
  <c r="J32" i="10"/>
  <c r="L5" i="3"/>
  <c r="M5" i="3" s="1"/>
  <c r="Z31" i="10" l="1"/>
  <c r="AC31" i="10"/>
  <c r="AF31" i="10"/>
  <c r="Z30" i="10"/>
  <c r="AC30" i="10"/>
  <c r="AF30" i="10"/>
  <c r="S32" i="10"/>
  <c r="T32" i="10" s="1"/>
  <c r="AB6" i="3"/>
  <c r="AE6" i="3"/>
  <c r="J8" i="10"/>
  <c r="J24" i="10"/>
  <c r="J33" i="10"/>
  <c r="O6" i="3"/>
  <c r="P6" i="3" s="1"/>
  <c r="L6" i="3"/>
  <c r="M6" i="3" s="1"/>
  <c r="AS6" i="3" l="1"/>
  <c r="Z32" i="10"/>
  <c r="AC32" i="10"/>
  <c r="AF32" i="10"/>
  <c r="S8" i="10"/>
  <c r="T8" i="10" s="1"/>
  <c r="S33" i="10"/>
  <c r="T33" i="10" s="1"/>
  <c r="S24" i="10"/>
  <c r="T24" i="10" s="1"/>
  <c r="AB7" i="3"/>
  <c r="AE7" i="3"/>
  <c r="Q6" i="3"/>
  <c r="J6" i="3"/>
  <c r="S6" i="3" s="1"/>
  <c r="O7" i="3"/>
  <c r="P7" i="3" s="1"/>
  <c r="L7" i="3"/>
  <c r="M7" i="3" s="1"/>
  <c r="AC8" i="10" l="1"/>
  <c r="AI8" i="10"/>
  <c r="Z8" i="10"/>
  <c r="W8" i="10"/>
  <c r="AF8" i="10"/>
  <c r="AH17" i="10"/>
  <c r="AI17" i="10" s="1"/>
  <c r="AH18" i="10"/>
  <c r="AI18" i="10" s="1"/>
  <c r="AH19" i="10"/>
  <c r="AI19" i="10" s="1"/>
  <c r="V10" i="10"/>
  <c r="W10" i="10" s="1"/>
  <c r="AJ10" i="10" s="1"/>
  <c r="AH9" i="10"/>
  <c r="AI9" i="10" s="1"/>
  <c r="AH23" i="10"/>
  <c r="AI23" i="10" s="1"/>
  <c r="V11" i="10"/>
  <c r="V9" i="10"/>
  <c r="W9" i="10" s="1"/>
  <c r="AH15" i="10"/>
  <c r="AI15" i="10" s="1"/>
  <c r="AH14" i="10"/>
  <c r="AI14" i="10" s="1"/>
  <c r="AH33" i="10"/>
  <c r="AI33" i="10" s="1"/>
  <c r="AH16" i="10"/>
  <c r="AI16" i="10" s="1"/>
  <c r="AC24" i="10"/>
  <c r="AF24" i="10"/>
  <c r="Z24" i="10"/>
  <c r="Z33" i="10"/>
  <c r="AC33" i="10"/>
  <c r="AF33" i="10"/>
  <c r="AS7" i="3"/>
  <c r="T6" i="3"/>
  <c r="AC6" i="3" s="1"/>
  <c r="AB8" i="3"/>
  <c r="AE8" i="3"/>
  <c r="Q7" i="3"/>
  <c r="L8" i="3"/>
  <c r="M8" i="3" s="1"/>
  <c r="J7" i="3"/>
  <c r="AJ9" i="10" l="1"/>
  <c r="AL9" i="10" s="1"/>
  <c r="AJ8" i="10"/>
  <c r="AK8" i="10" s="1"/>
  <c r="AF6" i="3"/>
  <c r="AL10" i="10"/>
  <c r="AK10" i="10"/>
  <c r="AB9" i="3"/>
  <c r="AE9" i="3"/>
  <c r="S7" i="3"/>
  <c r="J26" i="10"/>
  <c r="J12" i="10"/>
  <c r="J3" i="10"/>
  <c r="J36" i="10"/>
  <c r="L9" i="3"/>
  <c r="M9" i="3" s="1"/>
  <c r="AK9" i="10" l="1"/>
  <c r="AL8" i="10"/>
  <c r="AN8" i="10" s="1"/>
  <c r="S36" i="10"/>
  <c r="S3" i="10"/>
  <c r="S12" i="10"/>
  <c r="T12" i="10" s="1"/>
  <c r="AN10" i="10"/>
  <c r="AP10" i="10" s="1"/>
  <c r="S26" i="10"/>
  <c r="AN9" i="10"/>
  <c r="AP9" i="10" s="1"/>
  <c r="T7" i="3"/>
  <c r="AF7" i="3" s="1"/>
  <c r="AB10" i="3"/>
  <c r="AE10" i="3"/>
  <c r="L10" i="3"/>
  <c r="M10" i="3" s="1"/>
  <c r="AT9" i="10" l="1"/>
  <c r="AQ9" i="10"/>
  <c r="AU9" i="10"/>
  <c r="AV9" i="10"/>
  <c r="AC12" i="10"/>
  <c r="Z12" i="10"/>
  <c r="AF12" i="10"/>
  <c r="AO11" i="10"/>
  <c r="AO10" i="10"/>
  <c r="AO9" i="10"/>
  <c r="T26" i="10"/>
  <c r="AT10" i="10"/>
  <c r="AQ10" i="10"/>
  <c r="AU10" i="10"/>
  <c r="AV10" i="10"/>
  <c r="T3" i="10"/>
  <c r="AP8" i="10"/>
  <c r="T36" i="10"/>
  <c r="AC7" i="3"/>
  <c r="AB11" i="3"/>
  <c r="AE11" i="3"/>
  <c r="O11" i="3"/>
  <c r="P11" i="3" s="1"/>
  <c r="L11" i="3"/>
  <c r="M11" i="3" s="1"/>
  <c r="AH50" i="10" l="1"/>
  <c r="AH31" i="10"/>
  <c r="AI31" i="10" s="1"/>
  <c r="AH21" i="10"/>
  <c r="AI21" i="10" s="1"/>
  <c r="AS11" i="3"/>
  <c r="AW10" i="10"/>
  <c r="AW9" i="10"/>
  <c r="Z36" i="10"/>
  <c r="AC36" i="10"/>
  <c r="AF36" i="10"/>
  <c r="AX10" i="10"/>
  <c r="Z26" i="10"/>
  <c r="AF26" i="10"/>
  <c r="AC26" i="10"/>
  <c r="AX9" i="10"/>
  <c r="AT8" i="10"/>
  <c r="AQ8" i="10"/>
  <c r="AU8" i="10"/>
  <c r="AV8" i="10"/>
  <c r="AC3" i="10"/>
  <c r="AI3" i="10"/>
  <c r="Z3" i="10"/>
  <c r="AH12" i="10"/>
  <c r="AI12" i="10" s="1"/>
  <c r="W3" i="10"/>
  <c r="AF3" i="10"/>
  <c r="AB12" i="3"/>
  <c r="AE12" i="3"/>
  <c r="Q11" i="3"/>
  <c r="J11" i="3"/>
  <c r="AX8" i="10" l="1"/>
  <c r="AW8" i="10"/>
  <c r="AJ3" i="10"/>
  <c r="AB13" i="3"/>
  <c r="AE13" i="3"/>
  <c r="S11" i="3"/>
  <c r="J40" i="10"/>
  <c r="L13" i="3"/>
  <c r="M13" i="3" s="1"/>
  <c r="AL3" i="10" l="1"/>
  <c r="AP3" i="10" s="1"/>
  <c r="AK3" i="10"/>
  <c r="S40" i="10"/>
  <c r="T40" i="10" s="1"/>
  <c r="T11" i="3"/>
  <c r="AB14" i="3"/>
  <c r="AE14" i="3"/>
  <c r="L14" i="3"/>
  <c r="M14" i="3" s="1"/>
  <c r="AC11" i="3" l="1"/>
  <c r="AF11" i="3"/>
  <c r="Z40" i="10"/>
  <c r="AC40" i="10"/>
  <c r="AF40" i="10"/>
  <c r="AT3" i="10"/>
  <c r="AQ3" i="10"/>
  <c r="AU3" i="10"/>
  <c r="AV3" i="10"/>
  <c r="AB15" i="3"/>
  <c r="AE15" i="3"/>
  <c r="J42" i="10"/>
  <c r="L15" i="3"/>
  <c r="M15" i="3" s="1"/>
  <c r="AX3" i="10" l="1"/>
  <c r="AW3" i="10"/>
  <c r="S42" i="10"/>
  <c r="AB16" i="3"/>
  <c r="AE16" i="3"/>
  <c r="J43" i="10"/>
  <c r="O16" i="3"/>
  <c r="P16" i="3" s="1"/>
  <c r="L16" i="3"/>
  <c r="M16" i="3" s="1"/>
  <c r="S43" i="10" l="1"/>
  <c r="T43" i="10" s="1"/>
  <c r="T42" i="10"/>
  <c r="J38" i="10"/>
  <c r="AS16" i="3"/>
  <c r="AB17" i="3"/>
  <c r="AE17" i="3"/>
  <c r="Q16" i="3"/>
  <c r="J16" i="3"/>
  <c r="O17" i="3"/>
  <c r="P17" i="3" s="1"/>
  <c r="L17" i="3"/>
  <c r="M17" i="3" s="1"/>
  <c r="Z43" i="10" l="1"/>
  <c r="AF43" i="10"/>
  <c r="AC43" i="10"/>
  <c r="Z42" i="10"/>
  <c r="AC42" i="10"/>
  <c r="AF42" i="10"/>
  <c r="S38" i="10"/>
  <c r="T38" i="10" s="1"/>
  <c r="AS17" i="3"/>
  <c r="AB18" i="3"/>
  <c r="AE18" i="3"/>
  <c r="Q17" i="3"/>
  <c r="S16" i="3"/>
  <c r="J17" i="3"/>
  <c r="S17" i="3" s="1"/>
  <c r="J44" i="10"/>
  <c r="J39" i="10"/>
  <c r="J45" i="10"/>
  <c r="L18" i="3"/>
  <c r="M18" i="3" s="1"/>
  <c r="Z38" i="10" l="1"/>
  <c r="AC38" i="10"/>
  <c r="AF38" i="10"/>
  <c r="S39" i="10"/>
  <c r="T39" i="10" s="1"/>
  <c r="S44" i="10"/>
  <c r="T44" i="10" s="1"/>
  <c r="S45" i="10"/>
  <c r="T16" i="3"/>
  <c r="AC16" i="3" s="1"/>
  <c r="AB19" i="3"/>
  <c r="AE19" i="3"/>
  <c r="T17" i="3"/>
  <c r="O19" i="3"/>
  <c r="P19" i="3" s="1"/>
  <c r="L19" i="3"/>
  <c r="M19" i="3" s="1"/>
  <c r="AF16" i="3" l="1"/>
  <c r="Z39" i="10"/>
  <c r="AF39" i="10"/>
  <c r="AC39" i="10"/>
  <c r="AH45" i="10"/>
  <c r="Z44" i="10"/>
  <c r="AC44" i="10"/>
  <c r="AF44" i="10"/>
  <c r="T45" i="10"/>
  <c r="AS19" i="3"/>
  <c r="AB20" i="3"/>
  <c r="AE20" i="3"/>
  <c r="AC17" i="3"/>
  <c r="AF17" i="3"/>
  <c r="Q19" i="3"/>
  <c r="J19" i="3"/>
  <c r="S19" i="3" s="1"/>
  <c r="O20" i="3"/>
  <c r="P20" i="3" s="1"/>
  <c r="L20" i="3"/>
  <c r="M20" i="3" s="1"/>
  <c r="AB47" i="10" l="1"/>
  <c r="AB49" i="10"/>
  <c r="AB46" i="10"/>
  <c r="AB52" i="10"/>
  <c r="AB53" i="10"/>
  <c r="AB50" i="10"/>
  <c r="AB48" i="10"/>
  <c r="AB51" i="10"/>
  <c r="AS20" i="3"/>
  <c r="Z45" i="10"/>
  <c r="AF45" i="10"/>
  <c r="AI45" i="10"/>
  <c r="AC45" i="10"/>
  <c r="T19" i="3"/>
  <c r="AC19" i="3" s="1"/>
  <c r="AB21" i="3"/>
  <c r="AE21" i="3"/>
  <c r="Q20" i="3"/>
  <c r="L21" i="3"/>
  <c r="M21" i="3" s="1"/>
  <c r="J20" i="3"/>
  <c r="S20" i="3" s="1"/>
  <c r="AF19" i="3" l="1"/>
  <c r="AB22" i="3"/>
  <c r="AE22" i="3"/>
  <c r="T20" i="3"/>
  <c r="L22" i="3"/>
  <c r="M22" i="3" s="1"/>
  <c r="AB23" i="3" l="1"/>
  <c r="AE23" i="3"/>
  <c r="AC20" i="3"/>
  <c r="AF20" i="3"/>
  <c r="J50" i="10"/>
  <c r="L23" i="3"/>
  <c r="M23" i="3" s="1"/>
  <c r="S50" i="10" l="1"/>
  <c r="AB24" i="3"/>
  <c r="AE24" i="3"/>
  <c r="J41" i="10"/>
  <c r="J48" i="10"/>
  <c r="J47" i="10"/>
  <c r="J49" i="10"/>
  <c r="J51" i="10"/>
  <c r="L24" i="3"/>
  <c r="M24" i="3" s="1"/>
  <c r="S51" i="10" l="1"/>
  <c r="S49" i="10"/>
  <c r="T49" i="10" s="1"/>
  <c r="T50" i="10"/>
  <c r="S47" i="10"/>
  <c r="S41" i="10"/>
  <c r="S48" i="10"/>
  <c r="T48" i="10" s="1"/>
  <c r="AB25" i="3"/>
  <c r="AE25" i="3"/>
  <c r="J52" i="10"/>
  <c r="L25" i="3"/>
  <c r="M25" i="3" s="1"/>
  <c r="Z48" i="10" l="1"/>
  <c r="AC48" i="10"/>
  <c r="AF48" i="10"/>
  <c r="Z49" i="10"/>
  <c r="AC49" i="10"/>
  <c r="AF49" i="10"/>
  <c r="Z50" i="10"/>
  <c r="AI50" i="10"/>
  <c r="AF50" i="10"/>
  <c r="AC50" i="10"/>
  <c r="T51" i="10"/>
  <c r="S52" i="10"/>
  <c r="T41" i="10"/>
  <c r="T47" i="10"/>
  <c r="AB26" i="3"/>
  <c r="AE26" i="3"/>
  <c r="J53" i="10"/>
  <c r="L26" i="3"/>
  <c r="M26" i="3" s="1"/>
  <c r="AH52" i="10" l="1"/>
  <c r="Y52" i="10"/>
  <c r="Z51" i="10"/>
  <c r="AF51" i="10"/>
  <c r="AC51" i="10"/>
  <c r="S53" i="10"/>
  <c r="Z47" i="10"/>
  <c r="AF47" i="10"/>
  <c r="AC47" i="10"/>
  <c r="Z41" i="10"/>
  <c r="AF41" i="10"/>
  <c r="AC41" i="10"/>
  <c r="T52" i="10"/>
  <c r="Y53" i="10" s="1"/>
  <c r="AB27" i="3"/>
  <c r="AE27" i="3"/>
  <c r="J54" i="10"/>
  <c r="O27" i="3"/>
  <c r="P27" i="3" s="1"/>
  <c r="L27" i="3"/>
  <c r="M27" i="3" s="1"/>
  <c r="Y54" i="10" l="1"/>
  <c r="AH54" i="10"/>
  <c r="S54" i="10"/>
  <c r="Z52" i="10"/>
  <c r="AI52" i="10"/>
  <c r="AC52" i="10"/>
  <c r="AF52" i="10"/>
  <c r="T53" i="10"/>
  <c r="AS27" i="3"/>
  <c r="AB28" i="3"/>
  <c r="AE28" i="3"/>
  <c r="Q27" i="3"/>
  <c r="J55" i="10"/>
  <c r="J27" i="3"/>
  <c r="O28" i="3"/>
  <c r="P28" i="3" s="1"/>
  <c r="L28" i="3"/>
  <c r="M28" i="3" s="1"/>
  <c r="Z53" i="10" l="1"/>
  <c r="AF53" i="10"/>
  <c r="AC53" i="10"/>
  <c r="S55" i="10"/>
  <c r="T55" i="10" s="1"/>
  <c r="T54" i="10"/>
  <c r="AS28" i="3"/>
  <c r="AB29" i="3"/>
  <c r="AE29" i="3"/>
  <c r="Q28" i="3"/>
  <c r="S27" i="3"/>
  <c r="J28" i="3"/>
  <c r="J56" i="10"/>
  <c r="L29" i="3"/>
  <c r="M29" i="3" s="1"/>
  <c r="L12" i="3"/>
  <c r="M12" i="3" s="1"/>
  <c r="AF55" i="10" l="1"/>
  <c r="AC55" i="10"/>
  <c r="S56" i="10"/>
  <c r="T56" i="10" s="1"/>
  <c r="AH55" i="10"/>
  <c r="AI55" i="10" s="1"/>
  <c r="Z54" i="10"/>
  <c r="AC54" i="10"/>
  <c r="AF54" i="10"/>
  <c r="AI54" i="10"/>
  <c r="Y56" i="10"/>
  <c r="Y55" i="10"/>
  <c r="Z55" i="10" s="1"/>
  <c r="T27" i="3"/>
  <c r="AC27" i="3" s="1"/>
  <c r="AB30" i="3"/>
  <c r="AE30" i="3"/>
  <c r="S28" i="3"/>
  <c r="L30" i="3"/>
  <c r="M30" i="3" s="1"/>
  <c r="AF27" i="3" l="1"/>
  <c r="Z56" i="10"/>
  <c r="AC56" i="10"/>
  <c r="AF56" i="10"/>
  <c r="T28" i="3"/>
  <c r="AB31" i="3"/>
  <c r="AE31" i="3"/>
  <c r="L31" i="3"/>
  <c r="M31" i="3" s="1"/>
  <c r="AC28" i="3" l="1"/>
  <c r="AF28" i="3"/>
  <c r="AB32" i="3"/>
  <c r="AE32" i="3"/>
  <c r="L32" i="3"/>
  <c r="M32" i="3" s="1"/>
  <c r="AB33" i="3" l="1"/>
  <c r="AE33" i="3"/>
  <c r="L33" i="3"/>
  <c r="M33" i="3" s="1"/>
  <c r="AB34" i="3" l="1"/>
  <c r="AE34" i="3"/>
  <c r="L34" i="3"/>
  <c r="M34" i="3" s="1"/>
  <c r="AB35" i="3" l="1"/>
  <c r="AE35" i="3"/>
  <c r="L35" i="3"/>
  <c r="M35" i="3" s="1"/>
  <c r="AB36" i="3" l="1"/>
  <c r="AE36" i="3"/>
  <c r="L36" i="3"/>
  <c r="M36" i="3" s="1"/>
  <c r="AB37" i="3" l="1"/>
  <c r="AE37" i="3"/>
  <c r="L37" i="3"/>
  <c r="M37" i="3" s="1"/>
  <c r="AB38" i="3" l="1"/>
  <c r="AE38" i="3"/>
  <c r="L38" i="3"/>
  <c r="M38" i="3" s="1"/>
  <c r="AB39" i="3" l="1"/>
  <c r="AE39" i="3"/>
  <c r="L39" i="3"/>
  <c r="M39" i="3" s="1"/>
  <c r="AB40" i="3" l="1"/>
  <c r="AE40" i="3"/>
  <c r="L40" i="3"/>
  <c r="M40" i="3" s="1"/>
  <c r="AB41" i="3" l="1"/>
  <c r="AE41" i="3"/>
  <c r="L41" i="3"/>
  <c r="M41" i="3" s="1"/>
  <c r="AB42" i="3" l="1"/>
  <c r="AE42" i="3"/>
  <c r="L42" i="3"/>
  <c r="M42" i="3" s="1"/>
  <c r="AB43" i="3" l="1"/>
  <c r="AE43" i="3"/>
  <c r="L43" i="3"/>
  <c r="M43" i="3" s="1"/>
  <c r="AB44" i="3" l="1"/>
  <c r="AE44" i="3"/>
  <c r="L44" i="3"/>
  <c r="M44" i="3" s="1"/>
  <c r="AB45" i="3" l="1"/>
  <c r="AE45" i="3"/>
  <c r="L45" i="3"/>
  <c r="M45" i="3" s="1"/>
  <c r="AB46" i="3" l="1"/>
  <c r="AE46" i="3"/>
  <c r="L46" i="3"/>
  <c r="M46" i="3" s="1"/>
  <c r="AB47" i="3" l="1"/>
  <c r="AE47" i="3"/>
  <c r="L47" i="3"/>
  <c r="M47" i="3" s="1"/>
  <c r="AB48" i="3" l="1"/>
  <c r="AE48" i="3"/>
  <c r="L48" i="3"/>
  <c r="M48" i="3" s="1"/>
  <c r="AB49" i="3" l="1"/>
  <c r="AE49" i="3"/>
  <c r="L49" i="3"/>
  <c r="M49" i="3" s="1"/>
  <c r="AB50" i="3" l="1"/>
  <c r="AE50" i="3"/>
  <c r="L50" i="3"/>
  <c r="M50" i="3" s="1"/>
  <c r="AB51" i="3" l="1"/>
  <c r="AE51" i="3"/>
  <c r="L51" i="3"/>
  <c r="M51" i="3" s="1"/>
  <c r="AB52" i="3" l="1"/>
  <c r="AE52" i="3"/>
  <c r="L52" i="3"/>
  <c r="M52" i="3" s="1"/>
  <c r="AB53" i="3" l="1"/>
  <c r="AE53" i="3"/>
  <c r="L53" i="3"/>
  <c r="M53" i="3" s="1"/>
  <c r="AB54" i="3" l="1"/>
  <c r="AE54" i="3"/>
  <c r="L54" i="3"/>
  <c r="M54" i="3" s="1"/>
  <c r="AB55" i="3" l="1"/>
  <c r="AE55" i="3"/>
  <c r="L55" i="3"/>
  <c r="M55" i="3" s="1"/>
  <c r="AB56" i="3" l="1"/>
  <c r="AE56" i="3"/>
  <c r="L56" i="3"/>
  <c r="M56" i="3" s="1"/>
  <c r="AB57" i="3" l="1"/>
  <c r="AE57" i="3"/>
  <c r="L57" i="3"/>
  <c r="M57" i="3" s="1"/>
  <c r="AB58" i="3" l="1"/>
  <c r="AE58" i="3"/>
  <c r="L58" i="3"/>
  <c r="M58" i="3" s="1"/>
  <c r="AB59" i="3" l="1"/>
  <c r="AE59" i="3"/>
  <c r="L59" i="3"/>
  <c r="M59" i="3" s="1"/>
  <c r="AB60" i="3" l="1"/>
  <c r="AE60" i="3"/>
  <c r="L60" i="3"/>
  <c r="M60" i="3" s="1"/>
  <c r="AB61" i="3" l="1"/>
  <c r="AE61" i="3"/>
  <c r="L61" i="3"/>
  <c r="M61" i="3" s="1"/>
  <c r="AB62" i="3" l="1"/>
  <c r="AE62" i="3"/>
  <c r="L62" i="3"/>
  <c r="M62" i="3" s="1"/>
  <c r="AB63" i="3" l="1"/>
  <c r="AE63" i="3"/>
  <c r="L63" i="3"/>
  <c r="M63" i="3" s="1"/>
  <c r="AB64" i="3" l="1"/>
  <c r="AE64" i="3"/>
  <c r="L64" i="3"/>
  <c r="M64" i="3" s="1"/>
  <c r="AB65" i="3" l="1"/>
  <c r="AE65" i="3"/>
  <c r="O65" i="3"/>
  <c r="P65" i="3" s="1"/>
  <c r="L65" i="3"/>
  <c r="M65" i="3" s="1"/>
  <c r="O15" i="3"/>
  <c r="P15" i="3" s="1"/>
  <c r="AS15" i="3" s="1"/>
  <c r="AS65" i="3" l="1"/>
  <c r="AB66" i="3"/>
  <c r="AE66" i="3"/>
  <c r="Q15" i="3"/>
  <c r="Q65" i="3"/>
  <c r="J15" i="3"/>
  <c r="S15" i="3" s="1"/>
  <c r="J65" i="3"/>
  <c r="O66" i="3"/>
  <c r="P66" i="3" s="1"/>
  <c r="L66" i="3"/>
  <c r="M66" i="3" s="1"/>
  <c r="O18" i="3"/>
  <c r="P18" i="3" s="1"/>
  <c r="AS18" i="3" s="1"/>
  <c r="AS66" i="3" l="1"/>
  <c r="AB67" i="3"/>
  <c r="AE67" i="3"/>
  <c r="Q18" i="3"/>
  <c r="T15" i="3"/>
  <c r="S65" i="3"/>
  <c r="Q66" i="3"/>
  <c r="J18" i="3"/>
  <c r="J66" i="3"/>
  <c r="O67" i="3"/>
  <c r="P67" i="3" s="1"/>
  <c r="L67" i="3"/>
  <c r="M67" i="3" s="1"/>
  <c r="O21" i="3"/>
  <c r="P21" i="3" s="1"/>
  <c r="AS21" i="3" s="1"/>
  <c r="J27" i="13" l="1"/>
  <c r="D31" i="8"/>
  <c r="T65" i="3"/>
  <c r="AC65" i="3" s="1"/>
  <c r="AS67" i="3"/>
  <c r="AB68" i="3"/>
  <c r="AE68" i="3"/>
  <c r="Q67" i="3"/>
  <c r="Q21" i="3"/>
  <c r="S66" i="3"/>
  <c r="AC15" i="3"/>
  <c r="AF15" i="3"/>
  <c r="S18" i="3"/>
  <c r="J21" i="3"/>
  <c r="J67" i="3"/>
  <c r="O68" i="3"/>
  <c r="P68" i="3" s="1"/>
  <c r="L68" i="3"/>
  <c r="M68" i="3" s="1"/>
  <c r="O22" i="3"/>
  <c r="P22" i="3" s="1"/>
  <c r="AS22" i="3" s="1"/>
  <c r="AH16" i="3"/>
  <c r="AI16" i="3" s="1"/>
  <c r="AF65" i="3" l="1"/>
  <c r="T18" i="3"/>
  <c r="AC18" i="3" s="1"/>
  <c r="AS68" i="3"/>
  <c r="T66" i="3"/>
  <c r="AC66" i="3" s="1"/>
  <c r="AH18" i="3"/>
  <c r="AB69" i="3"/>
  <c r="AE69" i="3"/>
  <c r="AH17" i="3"/>
  <c r="AI17" i="3" s="1"/>
  <c r="Q68" i="3"/>
  <c r="S21" i="3"/>
  <c r="Q22" i="3"/>
  <c r="S67" i="3"/>
  <c r="J22" i="3"/>
  <c r="S22" i="3" s="1"/>
  <c r="O69" i="3"/>
  <c r="P69" i="3" s="1"/>
  <c r="L69" i="3"/>
  <c r="M69" i="3" s="1"/>
  <c r="O23" i="3"/>
  <c r="P23" i="3" s="1"/>
  <c r="AS23" i="3" s="1"/>
  <c r="J68" i="3"/>
  <c r="AH21" i="3" l="1"/>
  <c r="AF18" i="3"/>
  <c r="AH19" i="3"/>
  <c r="AI19" i="3" s="1"/>
  <c r="AH20" i="3"/>
  <c r="AI20" i="3" s="1"/>
  <c r="AI18" i="3"/>
  <c r="AF66" i="3"/>
  <c r="T67" i="3"/>
  <c r="AC67" i="3" s="1"/>
  <c r="T21" i="3"/>
  <c r="AF21" i="3" s="1"/>
  <c r="AS69" i="3"/>
  <c r="AB70" i="3"/>
  <c r="AE70" i="3"/>
  <c r="Q69" i="3"/>
  <c r="S68" i="3"/>
  <c r="Q23" i="3"/>
  <c r="T22" i="3"/>
  <c r="J23" i="3"/>
  <c r="S23" i="3" s="1"/>
  <c r="J69" i="3"/>
  <c r="L70" i="3"/>
  <c r="M70" i="3" s="1"/>
  <c r="AC21" i="3" l="1"/>
  <c r="AH22" i="3"/>
  <c r="AI22" i="3" s="1"/>
  <c r="AI21" i="3"/>
  <c r="AH23" i="3"/>
  <c r="AF67" i="3"/>
  <c r="H15" i="13"/>
  <c r="H26" i="13" s="1"/>
  <c r="E15" i="13"/>
  <c r="E26" i="13" s="1"/>
  <c r="I15" i="13"/>
  <c r="I26" i="13" s="1"/>
  <c r="G15" i="13"/>
  <c r="G26" i="13" s="1"/>
  <c r="T23" i="3"/>
  <c r="T68" i="3"/>
  <c r="AF68" i="3" s="1"/>
  <c r="AB71" i="3"/>
  <c r="AE71" i="3"/>
  <c r="AC22" i="3"/>
  <c r="AF22" i="3"/>
  <c r="S69" i="3"/>
  <c r="O71" i="3"/>
  <c r="P71" i="3" s="1"/>
  <c r="L71" i="3"/>
  <c r="M71" i="3" s="1"/>
  <c r="O25" i="3"/>
  <c r="P25" i="3" s="1"/>
  <c r="AS25" i="3" s="1"/>
  <c r="F15" i="13" l="1"/>
  <c r="F26" i="13" s="1"/>
  <c r="AF23" i="3"/>
  <c r="AC68" i="3"/>
  <c r="AI23" i="3"/>
  <c r="AC23" i="3"/>
  <c r="AS71" i="3"/>
  <c r="T69" i="3"/>
  <c r="AF69" i="3" s="1"/>
  <c r="AB72" i="3"/>
  <c r="AE72" i="3"/>
  <c r="Q25" i="3"/>
  <c r="Q71" i="3"/>
  <c r="J71" i="3"/>
  <c r="S71" i="3" s="1"/>
  <c r="J25" i="3"/>
  <c r="S25" i="3" s="1"/>
  <c r="O72" i="3"/>
  <c r="P72" i="3" s="1"/>
  <c r="L72" i="3"/>
  <c r="M72" i="3" s="1"/>
  <c r="O26" i="3"/>
  <c r="P26" i="3" s="1"/>
  <c r="AS26" i="3" s="1"/>
  <c r="AC69" i="3" l="1"/>
  <c r="AS72" i="3"/>
  <c r="AB73" i="3"/>
  <c r="AE73" i="3"/>
  <c r="T25" i="3"/>
  <c r="AC25" i="3" s="1"/>
  <c r="Q26" i="3"/>
  <c r="T71" i="3"/>
  <c r="Q72" i="3"/>
  <c r="J26" i="3"/>
  <c r="J72" i="3"/>
  <c r="S72" i="3" s="1"/>
  <c r="L73" i="3"/>
  <c r="M73" i="3" s="1"/>
  <c r="D24" i="8"/>
  <c r="AF25" i="3" l="1"/>
  <c r="AB74" i="3"/>
  <c r="AE74" i="3"/>
  <c r="T72" i="3"/>
  <c r="AC71" i="3"/>
  <c r="AF71" i="3"/>
  <c r="S26" i="3"/>
  <c r="L74" i="3"/>
  <c r="M74" i="3" s="1"/>
  <c r="T26" i="3" l="1"/>
  <c r="AC26" i="3" s="1"/>
  <c r="AB75" i="3"/>
  <c r="AE75" i="3"/>
  <c r="AC72" i="3"/>
  <c r="AF72" i="3"/>
  <c r="L75" i="3"/>
  <c r="M75" i="3" s="1"/>
  <c r="AF26" i="3" l="1"/>
  <c r="AB76" i="3"/>
  <c r="AE76" i="3"/>
  <c r="L76" i="3"/>
  <c r="M76" i="3" s="1"/>
  <c r="AB77" i="3" l="1"/>
  <c r="AE77" i="3"/>
  <c r="L77" i="3"/>
  <c r="M77" i="3" s="1"/>
  <c r="AB78" i="3" l="1"/>
  <c r="AE78" i="3"/>
  <c r="L78" i="3"/>
  <c r="M78" i="3" s="1"/>
  <c r="AB79" i="3" l="1"/>
  <c r="AE79" i="3"/>
  <c r="L79" i="3"/>
  <c r="M79" i="3" s="1"/>
  <c r="AB80" i="3" l="1"/>
  <c r="AE80" i="3"/>
  <c r="AB81" i="3" l="1"/>
  <c r="AE81" i="3"/>
  <c r="AB82" i="3" l="1"/>
  <c r="AE82" i="3"/>
  <c r="AB83" i="3" l="1"/>
  <c r="AE83" i="3"/>
  <c r="AB84" i="3" l="1"/>
  <c r="AE84" i="3"/>
  <c r="L84" i="3"/>
  <c r="M84" i="3" s="1"/>
  <c r="AB85" i="3" l="1"/>
  <c r="AE85" i="3"/>
  <c r="L85" i="3"/>
  <c r="M85" i="3" s="1"/>
  <c r="AB86" i="3" l="1"/>
  <c r="AE86" i="3"/>
  <c r="L86" i="3"/>
  <c r="M86" i="3" s="1"/>
  <c r="L80" i="3"/>
  <c r="M80" i="3" s="1"/>
  <c r="AB87" i="3" l="1"/>
  <c r="AE87" i="3"/>
  <c r="L87" i="3"/>
  <c r="M87" i="3" s="1"/>
  <c r="L81" i="3"/>
  <c r="M81" i="3" s="1"/>
  <c r="AB88" i="3" l="1"/>
  <c r="AE88" i="3"/>
  <c r="L88" i="3"/>
  <c r="M88" i="3" s="1"/>
  <c r="L82" i="3"/>
  <c r="M82" i="3" s="1"/>
  <c r="AB89" i="3" l="1"/>
  <c r="AE89" i="3"/>
  <c r="L89" i="3"/>
  <c r="M89" i="3" s="1"/>
  <c r="L83" i="3"/>
  <c r="M83" i="3" s="1"/>
  <c r="AB90" i="3" l="1"/>
  <c r="AE90" i="3"/>
  <c r="L90" i="3"/>
  <c r="M90" i="3" s="1"/>
  <c r="AB91" i="3" l="1"/>
  <c r="AE91" i="3"/>
  <c r="L91" i="3"/>
  <c r="M91" i="3" s="1"/>
  <c r="AB92" i="3" l="1"/>
  <c r="AE92" i="3"/>
  <c r="L92" i="3"/>
  <c r="M92" i="3" s="1"/>
  <c r="AB93" i="3" l="1"/>
  <c r="AE93" i="3"/>
  <c r="L93" i="3"/>
  <c r="M93" i="3" s="1"/>
  <c r="AB94" i="3" l="1"/>
  <c r="AE94" i="3"/>
  <c r="O94" i="3"/>
  <c r="P94" i="3" s="1"/>
  <c r="L94" i="3"/>
  <c r="M94" i="3" s="1"/>
  <c r="O70" i="3"/>
  <c r="P70" i="3" s="1"/>
  <c r="AS70" i="3" s="1"/>
  <c r="O43" i="3"/>
  <c r="P43" i="3" s="1"/>
  <c r="AS43" i="3" s="1"/>
  <c r="O24" i="3"/>
  <c r="P24" i="3" s="1"/>
  <c r="AS24" i="3" s="1"/>
  <c r="AS94" i="3" l="1"/>
  <c r="AB95" i="3"/>
  <c r="AE95" i="3"/>
  <c r="Q94" i="3"/>
  <c r="Q43" i="3"/>
  <c r="Q24" i="3"/>
  <c r="Q70" i="3"/>
  <c r="J24" i="3"/>
  <c r="S24" i="3" s="1"/>
  <c r="J43" i="3"/>
  <c r="S43" i="3" s="1"/>
  <c r="J70" i="3"/>
  <c r="S70" i="3" s="1"/>
  <c r="L95" i="3"/>
  <c r="M95" i="3" s="1"/>
  <c r="J94" i="3"/>
  <c r="AB96" i="3" l="1"/>
  <c r="AE96" i="3"/>
  <c r="T70" i="3"/>
  <c r="T43" i="3"/>
  <c r="T24" i="3"/>
  <c r="S94" i="3"/>
  <c r="J37" i="10"/>
  <c r="J27" i="10"/>
  <c r="J34" i="10"/>
  <c r="J29" i="10"/>
  <c r="J11" i="10"/>
  <c r="J35" i="10"/>
  <c r="J25" i="10"/>
  <c r="J46" i="10"/>
  <c r="J13" i="10"/>
  <c r="L96" i="3"/>
  <c r="M96" i="3" s="1"/>
  <c r="AH28" i="3" l="1"/>
  <c r="AI28" i="3" s="1"/>
  <c r="S35" i="10"/>
  <c r="S27" i="10"/>
  <c r="S13" i="10"/>
  <c r="T13" i="10" s="1"/>
  <c r="S11" i="10"/>
  <c r="T11" i="10" s="1"/>
  <c r="S37" i="10"/>
  <c r="T37" i="10" s="1"/>
  <c r="S46" i="10"/>
  <c r="S29" i="10"/>
  <c r="T29" i="10" s="1"/>
  <c r="S25" i="10"/>
  <c r="T25" i="10" s="1"/>
  <c r="S34" i="10"/>
  <c r="T94" i="3"/>
  <c r="AC94" i="3" s="1"/>
  <c r="AB97" i="3"/>
  <c r="AE97" i="3"/>
  <c r="AC43" i="3"/>
  <c r="AF43" i="3"/>
  <c r="AC70" i="3"/>
  <c r="AF70" i="3"/>
  <c r="AH25" i="3"/>
  <c r="AI25" i="3" s="1"/>
  <c r="AH27" i="3"/>
  <c r="AI27" i="3" s="1"/>
  <c r="AH26" i="3"/>
  <c r="AI26" i="3" s="1"/>
  <c r="AC24" i="3"/>
  <c r="AF24" i="3"/>
  <c r="L97" i="3"/>
  <c r="M97" i="3" s="1"/>
  <c r="AH26" i="10" l="1"/>
  <c r="AI26" i="10" s="1"/>
  <c r="AH30" i="10"/>
  <c r="AI30" i="10" s="1"/>
  <c r="AH22" i="10"/>
  <c r="AI22" i="10" s="1"/>
  <c r="AH32" i="10"/>
  <c r="AI32" i="10" s="1"/>
  <c r="AH24" i="10"/>
  <c r="AI24" i="10" s="1"/>
  <c r="AH20" i="10"/>
  <c r="AI20" i="10" s="1"/>
  <c r="AH36" i="10"/>
  <c r="AI36" i="10" s="1"/>
  <c r="AH43" i="10"/>
  <c r="AI43" i="10" s="1"/>
  <c r="AH42" i="10"/>
  <c r="AI42" i="10" s="1"/>
  <c r="AH44" i="10"/>
  <c r="AI44" i="10" s="1"/>
  <c r="V17" i="10"/>
  <c r="W17" i="10" s="1"/>
  <c r="AJ17" i="10" s="1"/>
  <c r="V13" i="10"/>
  <c r="W13" i="10" s="1"/>
  <c r="V24" i="10"/>
  <c r="W24" i="10" s="1"/>
  <c r="V23" i="10"/>
  <c r="W23" i="10" s="1"/>
  <c r="AJ23" i="10" s="1"/>
  <c r="V18" i="10"/>
  <c r="W18" i="10" s="1"/>
  <c r="AJ18" i="10" s="1"/>
  <c r="V19" i="10"/>
  <c r="W19" i="10" s="1"/>
  <c r="AJ19" i="10" s="1"/>
  <c r="V25" i="10"/>
  <c r="W25" i="10" s="1"/>
  <c r="V26" i="10"/>
  <c r="W26" i="10" s="1"/>
  <c r="V16" i="10"/>
  <c r="W16" i="10" s="1"/>
  <c r="AJ16" i="10" s="1"/>
  <c r="V15" i="10"/>
  <c r="W15" i="10" s="1"/>
  <c r="AJ15" i="10" s="1"/>
  <c r="V22" i="10"/>
  <c r="W22" i="10" s="1"/>
  <c r="V14" i="10"/>
  <c r="W14" i="10" s="1"/>
  <c r="AJ14" i="10" s="1"/>
  <c r="V27" i="10"/>
  <c r="V21" i="10"/>
  <c r="W21" i="10" s="1"/>
  <c r="AJ21" i="10" s="1"/>
  <c r="V20" i="10"/>
  <c r="W20" i="10" s="1"/>
  <c r="V12" i="10"/>
  <c r="W12" i="10" s="1"/>
  <c r="AJ12" i="10" s="1"/>
  <c r="AF94" i="3"/>
  <c r="AC11" i="10"/>
  <c r="AI11" i="10"/>
  <c r="Z11" i="10"/>
  <c r="W11" i="10"/>
  <c r="AF11" i="10"/>
  <c r="AH25" i="10"/>
  <c r="AI25" i="10" s="1"/>
  <c r="AH13" i="10"/>
  <c r="AI13" i="10" s="1"/>
  <c r="AH27" i="10"/>
  <c r="Z25" i="10"/>
  <c r="AC25" i="10"/>
  <c r="AF25" i="10"/>
  <c r="AC13" i="10"/>
  <c r="Z13" i="10"/>
  <c r="AF13" i="10"/>
  <c r="Z29" i="10"/>
  <c r="AC29" i="10"/>
  <c r="AF29" i="10"/>
  <c r="Z37" i="10"/>
  <c r="AC37" i="10"/>
  <c r="AF37" i="10"/>
  <c r="T35" i="10"/>
  <c r="T34" i="10"/>
  <c r="T46" i="10"/>
  <c r="AH53" i="10" s="1"/>
  <c r="AI53" i="10" s="1"/>
  <c r="T27" i="10"/>
  <c r="V31" i="10" s="1"/>
  <c r="W31" i="10" s="1"/>
  <c r="AJ31" i="10" s="1"/>
  <c r="AB98" i="3"/>
  <c r="AE98" i="3"/>
  <c r="L98" i="3"/>
  <c r="M98" i="3" s="1"/>
  <c r="AJ24" i="10" l="1"/>
  <c r="AL24" i="10" s="1"/>
  <c r="AJ26" i="10"/>
  <c r="AK26" i="10" s="1"/>
  <c r="AJ20" i="10"/>
  <c r="AK20" i="10" s="1"/>
  <c r="AH28" i="10"/>
  <c r="AI28" i="10" s="1"/>
  <c r="AJ22" i="10"/>
  <c r="AK22" i="10" s="1"/>
  <c r="AH38" i="10"/>
  <c r="AI38" i="10" s="1"/>
  <c r="AH40" i="10"/>
  <c r="AI40" i="10" s="1"/>
  <c r="AH39" i="10"/>
  <c r="AI39" i="10" s="1"/>
  <c r="J27" i="12"/>
  <c r="D17" i="8"/>
  <c r="AL31" i="10"/>
  <c r="AK31" i="10"/>
  <c r="V51" i="10"/>
  <c r="W51" i="10" s="1"/>
  <c r="V55" i="10"/>
  <c r="W55" i="10" s="1"/>
  <c r="AJ55" i="10" s="1"/>
  <c r="V44" i="10"/>
  <c r="W44" i="10" s="1"/>
  <c r="AJ44" i="10" s="1"/>
  <c r="V41" i="10"/>
  <c r="W41" i="10" s="1"/>
  <c r="V40" i="10"/>
  <c r="W40" i="10" s="1"/>
  <c r="AL14" i="10"/>
  <c r="AK14" i="10"/>
  <c r="V28" i="10"/>
  <c r="W28" i="10" s="1"/>
  <c r="V38" i="10"/>
  <c r="W38" i="10" s="1"/>
  <c r="V33" i="10"/>
  <c r="W33" i="10" s="1"/>
  <c r="AJ33" i="10" s="1"/>
  <c r="V47" i="10"/>
  <c r="W47" i="10" s="1"/>
  <c r="V52" i="10"/>
  <c r="W52" i="10" s="1"/>
  <c r="AJ52" i="10" s="1"/>
  <c r="V54" i="10"/>
  <c r="W54" i="10" s="1"/>
  <c r="AJ54" i="10" s="1"/>
  <c r="V45" i="10"/>
  <c r="W45" i="10" s="1"/>
  <c r="AJ45" i="10" s="1"/>
  <c r="V29" i="10"/>
  <c r="W29" i="10" s="1"/>
  <c r="AK21" i="10"/>
  <c r="AL21" i="10"/>
  <c r="AL16" i="10"/>
  <c r="AK16" i="10"/>
  <c r="V37" i="10"/>
  <c r="W37" i="10" s="1"/>
  <c r="AL19" i="10"/>
  <c r="AK19" i="10"/>
  <c r="V50" i="10"/>
  <c r="W50" i="10" s="1"/>
  <c r="AJ50" i="10" s="1"/>
  <c r="V53" i="10"/>
  <c r="W53" i="10" s="1"/>
  <c r="AJ53" i="10" s="1"/>
  <c r="V56" i="10"/>
  <c r="W56" i="10" s="1"/>
  <c r="V46" i="10"/>
  <c r="W46" i="10" s="1"/>
  <c r="V34" i="10"/>
  <c r="W34" i="10" s="1"/>
  <c r="V35" i="10"/>
  <c r="W35" i="10" s="1"/>
  <c r="V30" i="10"/>
  <c r="W30" i="10" s="1"/>
  <c r="AJ30" i="10" s="1"/>
  <c r="V39" i="10"/>
  <c r="W39" i="10" s="1"/>
  <c r="AL18" i="10"/>
  <c r="AK18" i="10"/>
  <c r="V43" i="10"/>
  <c r="W43" i="10" s="1"/>
  <c r="AJ43" i="10" s="1"/>
  <c r="V48" i="10"/>
  <c r="W48" i="10" s="1"/>
  <c r="V49" i="10"/>
  <c r="W49" i="10" s="1"/>
  <c r="V42" i="10"/>
  <c r="W42" i="10" s="1"/>
  <c r="AJ42" i="10" s="1"/>
  <c r="AK12" i="10"/>
  <c r="AL12" i="10"/>
  <c r="AP12" i="10" s="1"/>
  <c r="V32" i="10"/>
  <c r="W32" i="10" s="1"/>
  <c r="AJ32" i="10" s="1"/>
  <c r="V36" i="10"/>
  <c r="W36" i="10" s="1"/>
  <c r="AJ36" i="10" s="1"/>
  <c r="AK15" i="10"/>
  <c r="AL15" i="10"/>
  <c r="AK23" i="10"/>
  <c r="AL23" i="10"/>
  <c r="AN23" i="10" s="1"/>
  <c r="AP23" i="10" s="1"/>
  <c r="AK17" i="10"/>
  <c r="AL17" i="10"/>
  <c r="AN17" i="10" s="1"/>
  <c r="AP17" i="10" s="1"/>
  <c r="AV17" i="10" s="1"/>
  <c r="AH37" i="10"/>
  <c r="AI37" i="10" s="1"/>
  <c r="AJ11" i="10"/>
  <c r="AL11" i="10" s="1"/>
  <c r="AJ25" i="10"/>
  <c r="AL25" i="10" s="1"/>
  <c r="Z35" i="10"/>
  <c r="AC35" i="10"/>
  <c r="AF35" i="10"/>
  <c r="Z34" i="10"/>
  <c r="AC34" i="10"/>
  <c r="AF34" i="10"/>
  <c r="Z27" i="10"/>
  <c r="AI27" i="10"/>
  <c r="AC27" i="10"/>
  <c r="W27" i="10"/>
  <c r="AF27" i="10"/>
  <c r="AJ13" i="10"/>
  <c r="AH29" i="10"/>
  <c r="AI29" i="10" s="1"/>
  <c r="AH46" i="10"/>
  <c r="AI46" i="10" s="1"/>
  <c r="AH35" i="10"/>
  <c r="AI35" i="10" s="1"/>
  <c r="Z46" i="10"/>
  <c r="AC46" i="10"/>
  <c r="AF46" i="10"/>
  <c r="AH41" i="10"/>
  <c r="AI41" i="10" s="1"/>
  <c r="AH51" i="10"/>
  <c r="AI51" i="10" s="1"/>
  <c r="AH47" i="10"/>
  <c r="AI47" i="10" s="1"/>
  <c r="AH49" i="10"/>
  <c r="AI49" i="10" s="1"/>
  <c r="AH56" i="10"/>
  <c r="AI56" i="10" s="1"/>
  <c r="AH48" i="10"/>
  <c r="AI48" i="10" s="1"/>
  <c r="AH34" i="10"/>
  <c r="AI34" i="10" s="1"/>
  <c r="AB99" i="3"/>
  <c r="AE99" i="3"/>
  <c r="O99" i="3"/>
  <c r="P99" i="3" s="1"/>
  <c r="L99" i="3"/>
  <c r="M99" i="3" s="1"/>
  <c r="AK24" i="10" l="1"/>
  <c r="AL26" i="10"/>
  <c r="AN26" i="10" s="1"/>
  <c r="AP26" i="10" s="1"/>
  <c r="AL20" i="10"/>
  <c r="AN20" i="10" s="1"/>
  <c r="AP20" i="10" s="1"/>
  <c r="AJ40" i="10"/>
  <c r="AK40" i="10" s="1"/>
  <c r="AL22" i="10"/>
  <c r="AN22" i="10" s="1"/>
  <c r="AP22" i="10" s="1"/>
  <c r="AV22" i="10" s="1"/>
  <c r="AJ28" i="10"/>
  <c r="AK28" i="10" s="1"/>
  <c r="AJ39" i="10"/>
  <c r="AL39" i="10" s="1"/>
  <c r="AJ38" i="10"/>
  <c r="AL38" i="10" s="1"/>
  <c r="AN16" i="10"/>
  <c r="AP16" i="10" s="1"/>
  <c r="AN18" i="10"/>
  <c r="AP18" i="10" s="1"/>
  <c r="AN19" i="10"/>
  <c r="AP19" i="10" s="1"/>
  <c r="AN15" i="10"/>
  <c r="AP15" i="10" s="1"/>
  <c r="AN14" i="10"/>
  <c r="AP14" i="10" s="1"/>
  <c r="AN24" i="10"/>
  <c r="AP24" i="10" s="1"/>
  <c r="AN21" i="10"/>
  <c r="AP21" i="10" s="1"/>
  <c r="AN31" i="10"/>
  <c r="AP31" i="10" s="1"/>
  <c r="AJ56" i="10"/>
  <c r="AL56" i="10" s="1"/>
  <c r="AJ41" i="10"/>
  <c r="AK41" i="10" s="1"/>
  <c r="AJ47" i="10"/>
  <c r="AL47" i="10" s="1"/>
  <c r="AJ37" i="10"/>
  <c r="AL37" i="10" s="1"/>
  <c r="AJ49" i="10"/>
  <c r="AL49" i="10" s="1"/>
  <c r="AJ48" i="10"/>
  <c r="AK48" i="10" s="1"/>
  <c r="AJ51" i="10"/>
  <c r="AK51" i="10" s="1"/>
  <c r="AJ29" i="10"/>
  <c r="AL29" i="10" s="1"/>
  <c r="AL53" i="10"/>
  <c r="AK53" i="10"/>
  <c r="AL54" i="10"/>
  <c r="AK54" i="10"/>
  <c r="AQ23" i="10"/>
  <c r="E16" i="12" s="1"/>
  <c r="AU23" i="10"/>
  <c r="I16" i="12" s="1"/>
  <c r="AT23" i="10"/>
  <c r="H16" i="12" s="1"/>
  <c r="AL32" i="10"/>
  <c r="AK32" i="10"/>
  <c r="AT17" i="10"/>
  <c r="AQ17" i="10"/>
  <c r="AU17" i="10"/>
  <c r="AV12" i="10"/>
  <c r="AT12" i="10"/>
  <c r="AQ12" i="10"/>
  <c r="AU12" i="10"/>
  <c r="AL50" i="10"/>
  <c r="AN50" i="10" s="1"/>
  <c r="AP50" i="10" s="1"/>
  <c r="AV50" i="10" s="1"/>
  <c r="AK50" i="10"/>
  <c r="AL52" i="10"/>
  <c r="AK52" i="10"/>
  <c r="AL43" i="10"/>
  <c r="AK43" i="10"/>
  <c r="AL44" i="10"/>
  <c r="AK44" i="10"/>
  <c r="AV23" i="10"/>
  <c r="G16" i="12" s="1"/>
  <c r="AK36" i="10"/>
  <c r="AL36" i="10"/>
  <c r="AL42" i="10"/>
  <c r="AK42" i="10"/>
  <c r="AL30" i="10"/>
  <c r="AK30" i="10"/>
  <c r="AL45" i="10"/>
  <c r="AK45" i="10"/>
  <c r="AK33" i="10"/>
  <c r="AL33" i="10"/>
  <c r="AL55" i="10"/>
  <c r="AK55" i="10"/>
  <c r="AK11" i="10"/>
  <c r="AK25" i="10"/>
  <c r="AJ46" i="10"/>
  <c r="AJ35" i="10"/>
  <c r="AJ27" i="10"/>
  <c r="AN11" i="10"/>
  <c r="AP11" i="10" s="1"/>
  <c r="AJ34" i="10"/>
  <c r="AN25" i="10"/>
  <c r="AP25" i="10" s="1"/>
  <c r="AL13" i="10"/>
  <c r="AK13" i="10"/>
  <c r="AS99" i="3"/>
  <c r="AB100" i="3"/>
  <c r="AE100" i="3"/>
  <c r="Q99" i="3"/>
  <c r="J99" i="3"/>
  <c r="O100" i="3"/>
  <c r="P100" i="3" s="1"/>
  <c r="L100" i="3"/>
  <c r="M100" i="3" s="1"/>
  <c r="F16" i="12" l="1"/>
  <c r="AL40" i="10"/>
  <c r="AN40" i="10" s="1"/>
  <c r="AP40" i="10" s="1"/>
  <c r="AL28" i="10"/>
  <c r="AN28" i="10" s="1"/>
  <c r="AP28" i="10" s="1"/>
  <c r="AT22" i="10"/>
  <c r="AK38" i="10"/>
  <c r="AK39" i="10"/>
  <c r="AU22" i="10"/>
  <c r="AQ22" i="10"/>
  <c r="AT26" i="10"/>
  <c r="AU26" i="10"/>
  <c r="AV26" i="10"/>
  <c r="AQ26" i="10"/>
  <c r="AN53" i="10"/>
  <c r="AP53" i="10" s="1"/>
  <c r="AN36" i="10"/>
  <c r="AP36" i="10" s="1"/>
  <c r="AN45" i="10"/>
  <c r="AP45" i="10" s="1"/>
  <c r="AN42" i="10"/>
  <c r="AP42" i="10" s="1"/>
  <c r="AN44" i="10"/>
  <c r="AP44" i="10" s="1"/>
  <c r="AN43" i="10"/>
  <c r="AP43" i="10" s="1"/>
  <c r="AN52" i="10"/>
  <c r="AP52" i="10" s="1"/>
  <c r="AN38" i="10"/>
  <c r="AP38" i="10" s="1"/>
  <c r="AN39" i="10"/>
  <c r="AP39" i="10" s="1"/>
  <c r="AK56" i="10"/>
  <c r="AL51" i="10"/>
  <c r="AN51" i="10" s="1"/>
  <c r="AP51" i="10" s="1"/>
  <c r="AU24" i="10"/>
  <c r="AT24" i="10"/>
  <c r="AQ24" i="10"/>
  <c r="AV24" i="10"/>
  <c r="AV18" i="10"/>
  <c r="AT18" i="10"/>
  <c r="AQ18" i="10"/>
  <c r="AU18" i="10"/>
  <c r="AV31" i="10"/>
  <c r="AQ31" i="10"/>
  <c r="AT31" i="10"/>
  <c r="AU31" i="10"/>
  <c r="AT14" i="10"/>
  <c r="AQ14" i="10"/>
  <c r="AU14" i="10"/>
  <c r="AV14" i="10"/>
  <c r="AV16" i="10"/>
  <c r="AT16" i="10"/>
  <c r="AQ16" i="10"/>
  <c r="AU16" i="10"/>
  <c r="AV20" i="10"/>
  <c r="AU20" i="10"/>
  <c r="AT20" i="10"/>
  <c r="AQ20" i="10"/>
  <c r="AV15" i="10"/>
  <c r="AQ15" i="10"/>
  <c r="AU15" i="10"/>
  <c r="AT15" i="10"/>
  <c r="AT21" i="10"/>
  <c r="AQ21" i="10"/>
  <c r="AV21" i="10"/>
  <c r="AU21" i="10"/>
  <c r="AV19" i="10"/>
  <c r="AQ19" i="10"/>
  <c r="AU19" i="10"/>
  <c r="AT19" i="10"/>
  <c r="AN55" i="10"/>
  <c r="AP55" i="10" s="1"/>
  <c r="AN33" i="10"/>
  <c r="AP33" i="10" s="1"/>
  <c r="AN30" i="10"/>
  <c r="AP30" i="10" s="1"/>
  <c r="AN32" i="10"/>
  <c r="AP32" i="10" s="1"/>
  <c r="AN54" i="10"/>
  <c r="AP54" i="10" s="1"/>
  <c r="AK37" i="10"/>
  <c r="AK47" i="10"/>
  <c r="AK29" i="10"/>
  <c r="AL41" i="10"/>
  <c r="AN41" i="10" s="1"/>
  <c r="AP41" i="10" s="1"/>
  <c r="AL48" i="10"/>
  <c r="AN48" i="10" s="1"/>
  <c r="AK49" i="10"/>
  <c r="AW17" i="10"/>
  <c r="AX12" i="10"/>
  <c r="AW12" i="10"/>
  <c r="AW23" i="10"/>
  <c r="AX23" i="10"/>
  <c r="AT50" i="10"/>
  <c r="AQ50" i="10"/>
  <c r="AU50" i="10"/>
  <c r="AX17" i="10"/>
  <c r="AN37" i="10"/>
  <c r="AP37" i="10" s="1"/>
  <c r="AT11" i="10"/>
  <c r="AQ11" i="10"/>
  <c r="AU11" i="10"/>
  <c r="AV11" i="10"/>
  <c r="AL27" i="10"/>
  <c r="AK27" i="10"/>
  <c r="AL35" i="10"/>
  <c r="AK35" i="10"/>
  <c r="AN49" i="10"/>
  <c r="AP49" i="10" s="1"/>
  <c r="AN56" i="10"/>
  <c r="AP56" i="10" s="1"/>
  <c r="AT25" i="10"/>
  <c r="AQ25" i="10"/>
  <c r="AU25" i="10"/>
  <c r="AV25" i="10"/>
  <c r="AO13" i="10"/>
  <c r="AO12" i="10"/>
  <c r="AL46" i="10"/>
  <c r="AK46" i="10"/>
  <c r="AN13" i="10"/>
  <c r="AO22" i="10" s="1"/>
  <c r="AL34" i="10"/>
  <c r="AK34" i="10"/>
  <c r="AN47" i="10"/>
  <c r="AP47" i="10" s="1"/>
  <c r="AN29" i="10"/>
  <c r="AP29" i="10" s="1"/>
  <c r="AS100" i="3"/>
  <c r="AB101" i="3"/>
  <c r="AE101" i="3"/>
  <c r="Q100" i="3"/>
  <c r="S99" i="3"/>
  <c r="J100" i="3"/>
  <c r="S100" i="3" s="1"/>
  <c r="O101" i="3"/>
  <c r="P101" i="3" s="1"/>
  <c r="L101" i="3"/>
  <c r="M101" i="3" s="1"/>
  <c r="I20" i="12" l="1"/>
  <c r="E20" i="12"/>
  <c r="H20" i="12"/>
  <c r="AW22" i="10"/>
  <c r="AX22" i="10"/>
  <c r="AW26" i="10"/>
  <c r="AX26" i="10"/>
  <c r="AV36" i="10"/>
  <c r="AU36" i="10"/>
  <c r="AQ36" i="10"/>
  <c r="AV53" i="10"/>
  <c r="AT53" i="10"/>
  <c r="AU53" i="10"/>
  <c r="AQ53" i="10"/>
  <c r="AT36" i="10"/>
  <c r="AQ42" i="10"/>
  <c r="AU42" i="10"/>
  <c r="AT42" i="10"/>
  <c r="AV42" i="10"/>
  <c r="AV43" i="10"/>
  <c r="AT43" i="10"/>
  <c r="AU43" i="10"/>
  <c r="AQ43" i="10"/>
  <c r="AT39" i="10"/>
  <c r="AU39" i="10"/>
  <c r="AQ39" i="10"/>
  <c r="AV39" i="10"/>
  <c r="AV44" i="10"/>
  <c r="AT44" i="10"/>
  <c r="AU44" i="10"/>
  <c r="AQ44" i="10"/>
  <c r="AV38" i="10"/>
  <c r="AT38" i="10"/>
  <c r="AU38" i="10"/>
  <c r="AQ38" i="10"/>
  <c r="AU52" i="10"/>
  <c r="AT52" i="10"/>
  <c r="AQ52" i="10"/>
  <c r="AV52" i="10"/>
  <c r="AT45" i="10"/>
  <c r="H6" i="12" s="1"/>
  <c r="AQ45" i="10"/>
  <c r="AU45" i="10"/>
  <c r="I6" i="12" s="1"/>
  <c r="AV45" i="10"/>
  <c r="G6" i="12" s="1"/>
  <c r="AW20" i="10"/>
  <c r="AW31" i="10"/>
  <c r="AW15" i="10"/>
  <c r="AW14" i="10"/>
  <c r="AX19" i="10"/>
  <c r="AX21" i="10"/>
  <c r="AX15" i="10"/>
  <c r="AW16" i="10"/>
  <c r="AX14" i="10"/>
  <c r="AX31" i="10"/>
  <c r="AW18" i="10"/>
  <c r="AW24" i="10"/>
  <c r="AW19" i="10"/>
  <c r="AW21" i="10"/>
  <c r="AX24" i="10"/>
  <c r="AT40" i="10"/>
  <c r="AU40" i="10"/>
  <c r="AQ40" i="10"/>
  <c r="AV40" i="10"/>
  <c r="AV55" i="10"/>
  <c r="AU55" i="10"/>
  <c r="AT55" i="10"/>
  <c r="AQ55" i="10"/>
  <c r="AV32" i="10"/>
  <c r="AU32" i="10"/>
  <c r="AT32" i="10"/>
  <c r="AQ32" i="10"/>
  <c r="AV28" i="10"/>
  <c r="AQ28" i="10"/>
  <c r="AU28" i="10"/>
  <c r="AT28" i="10"/>
  <c r="AV30" i="10"/>
  <c r="AQ30" i="10"/>
  <c r="AU30" i="10"/>
  <c r="AT30" i="10"/>
  <c r="AV54" i="10"/>
  <c r="AU54" i="10"/>
  <c r="AT54" i="10"/>
  <c r="AQ54" i="10"/>
  <c r="AQ33" i="10"/>
  <c r="AU33" i="10"/>
  <c r="AV33" i="10"/>
  <c r="AT33" i="10"/>
  <c r="AX18" i="10"/>
  <c r="AX20" i="10"/>
  <c r="AX16" i="10"/>
  <c r="AX50" i="10"/>
  <c r="AW50" i="10"/>
  <c r="AP13" i="10"/>
  <c r="AQ13" i="10" s="1"/>
  <c r="AX25" i="10"/>
  <c r="AW25" i="10"/>
  <c r="AX11" i="10"/>
  <c r="AW11" i="10"/>
  <c r="AT29" i="10"/>
  <c r="AQ29" i="10"/>
  <c r="AU29" i="10"/>
  <c r="AV29" i="10"/>
  <c r="AT41" i="10"/>
  <c r="AQ41" i="10"/>
  <c r="AU41" i="10"/>
  <c r="AV41" i="10"/>
  <c r="AT56" i="10"/>
  <c r="AQ56" i="10"/>
  <c r="AU56" i="10"/>
  <c r="AV56" i="10"/>
  <c r="AT37" i="10"/>
  <c r="AQ37" i="10"/>
  <c r="AU37" i="10"/>
  <c r="AV37" i="10"/>
  <c r="AN46" i="10"/>
  <c r="AP46" i="10" s="1"/>
  <c r="AO26" i="10"/>
  <c r="AO27" i="10"/>
  <c r="AT47" i="10"/>
  <c r="AQ47" i="10"/>
  <c r="AU47" i="10"/>
  <c r="AV47" i="10"/>
  <c r="AP48" i="10"/>
  <c r="AN34" i="10"/>
  <c r="AP34" i="10" s="1"/>
  <c r="AO24" i="10"/>
  <c r="AO16" i="10"/>
  <c r="AO20" i="10"/>
  <c r="AO19" i="10"/>
  <c r="AO17" i="10"/>
  <c r="AN27" i="10"/>
  <c r="AP27" i="10" s="1"/>
  <c r="AO23" i="10"/>
  <c r="AO21" i="10"/>
  <c r="AO18" i="10"/>
  <c r="AO14" i="10"/>
  <c r="AO25" i="10"/>
  <c r="AO15" i="10"/>
  <c r="AT49" i="10"/>
  <c r="AQ49" i="10"/>
  <c r="AU49" i="10"/>
  <c r="AV49" i="10"/>
  <c r="AN35" i="10"/>
  <c r="AT51" i="10"/>
  <c r="AQ51" i="10"/>
  <c r="AU51" i="10"/>
  <c r="AV51" i="10"/>
  <c r="T99" i="3"/>
  <c r="AC99" i="3" s="1"/>
  <c r="AS101" i="3"/>
  <c r="AB102" i="3"/>
  <c r="AE102" i="3"/>
  <c r="T100" i="3"/>
  <c r="Q101" i="3"/>
  <c r="J101" i="3"/>
  <c r="S101" i="3" s="1"/>
  <c r="O102" i="3"/>
  <c r="P102" i="3" s="1"/>
  <c r="L102" i="3"/>
  <c r="M102" i="3" s="1"/>
  <c r="E18" i="12" l="1"/>
  <c r="H18" i="12"/>
  <c r="G18" i="12"/>
  <c r="I18" i="12"/>
  <c r="G20" i="12"/>
  <c r="F20" i="12" s="1"/>
  <c r="AW36" i="10"/>
  <c r="AW53" i="10"/>
  <c r="AX53" i="10"/>
  <c r="AX36" i="10"/>
  <c r="AW44" i="10"/>
  <c r="AW45" i="10"/>
  <c r="AX38" i="10"/>
  <c r="AX44" i="10"/>
  <c r="AW38" i="10"/>
  <c r="AX45" i="10"/>
  <c r="AW52" i="10"/>
  <c r="AX39" i="10"/>
  <c r="AX43" i="10"/>
  <c r="AW42" i="10"/>
  <c r="AW43" i="10"/>
  <c r="AX42" i="10"/>
  <c r="AX52" i="10"/>
  <c r="AW39" i="10"/>
  <c r="AW28" i="10"/>
  <c r="AW33" i="10"/>
  <c r="AX30" i="10"/>
  <c r="AX28" i="10"/>
  <c r="AW32" i="10"/>
  <c r="AX55" i="10"/>
  <c r="AX40" i="10"/>
  <c r="AW30" i="10"/>
  <c r="AX33" i="10"/>
  <c r="AW55" i="10"/>
  <c r="AX54" i="10"/>
  <c r="AX32" i="10"/>
  <c r="AW54" i="10"/>
  <c r="AW40" i="10"/>
  <c r="AO32" i="10"/>
  <c r="AT13" i="10"/>
  <c r="AV13" i="10"/>
  <c r="AF99" i="3"/>
  <c r="AU13" i="10"/>
  <c r="AO49" i="10"/>
  <c r="AO34" i="10"/>
  <c r="AO50" i="10"/>
  <c r="AW56" i="10"/>
  <c r="AP35" i="10"/>
  <c r="AQ35" i="10" s="1"/>
  <c r="AW41" i="10"/>
  <c r="AW47" i="10"/>
  <c r="AW37" i="10"/>
  <c r="AW51" i="10"/>
  <c r="AW49" i="10"/>
  <c r="AO37" i="10"/>
  <c r="AX29" i="10"/>
  <c r="AO42" i="10"/>
  <c r="AW29" i="10"/>
  <c r="AO52" i="10"/>
  <c r="AO38" i="10"/>
  <c r="AO51" i="10"/>
  <c r="AO55" i="10"/>
  <c r="AT34" i="10"/>
  <c r="H21" i="12" s="1"/>
  <c r="AQ34" i="10"/>
  <c r="E21" i="12" s="1"/>
  <c r="AU34" i="10"/>
  <c r="I21" i="12" s="1"/>
  <c r="AV34" i="10"/>
  <c r="G21" i="12" s="1"/>
  <c r="AO47" i="10"/>
  <c r="AT46" i="10"/>
  <c r="AQ46" i="10"/>
  <c r="AU46" i="10"/>
  <c r="AV46" i="10"/>
  <c r="AO36" i="10"/>
  <c r="AO33" i="10"/>
  <c r="AO29" i="10"/>
  <c r="AO28" i="10"/>
  <c r="AO53" i="10"/>
  <c r="AT48" i="10"/>
  <c r="H10" i="12" s="1"/>
  <c r="AQ48" i="10"/>
  <c r="E10" i="12" s="1"/>
  <c r="AU48" i="10"/>
  <c r="I10" i="12" s="1"/>
  <c r="AV48" i="10"/>
  <c r="G10" i="12" s="1"/>
  <c r="AX47" i="10"/>
  <c r="AO35" i="10"/>
  <c r="AO41" i="10"/>
  <c r="AX37" i="10"/>
  <c r="AX49" i="10"/>
  <c r="AO46" i="10"/>
  <c r="AT27" i="10"/>
  <c r="AQ27" i="10"/>
  <c r="AU27" i="10"/>
  <c r="AV27" i="10"/>
  <c r="AO44" i="10"/>
  <c r="AO31" i="10"/>
  <c r="AO30" i="10"/>
  <c r="AO43" i="10"/>
  <c r="AX56" i="10"/>
  <c r="AX51" i="10"/>
  <c r="AO45" i="10"/>
  <c r="AO39" i="10"/>
  <c r="AO48" i="10"/>
  <c r="AO54" i="10"/>
  <c r="AO56" i="10"/>
  <c r="AO40" i="10"/>
  <c r="AX41" i="10"/>
  <c r="AS102" i="3"/>
  <c r="AB103" i="3"/>
  <c r="AE103" i="3"/>
  <c r="Q102" i="3"/>
  <c r="AC100" i="3"/>
  <c r="AF100" i="3"/>
  <c r="T101" i="3"/>
  <c r="J102" i="3"/>
  <c r="S102" i="3" s="1"/>
  <c r="L103" i="3"/>
  <c r="M103" i="3" s="1"/>
  <c r="F18" i="12" l="1"/>
  <c r="E17" i="12"/>
  <c r="F21" i="12"/>
  <c r="G13" i="12"/>
  <c r="H13" i="12"/>
  <c r="F10" i="12"/>
  <c r="I13" i="12"/>
  <c r="E13" i="12"/>
  <c r="AW13" i="10"/>
  <c r="AX13" i="10"/>
  <c r="AU35" i="10"/>
  <c r="I17" i="12" s="1"/>
  <c r="I26" i="12" s="1"/>
  <c r="AT35" i="10"/>
  <c r="H17" i="12" s="1"/>
  <c r="AV35" i="10"/>
  <c r="G17" i="12" s="1"/>
  <c r="AW48" i="10"/>
  <c r="AX27" i="10"/>
  <c r="AW46" i="10"/>
  <c r="AW27" i="10"/>
  <c r="AW34" i="10"/>
  <c r="AX48" i="10"/>
  <c r="AX46" i="10"/>
  <c r="AX34" i="10"/>
  <c r="AB104" i="3"/>
  <c r="AE104" i="3"/>
  <c r="T102" i="3"/>
  <c r="AC101" i="3"/>
  <c r="AF101" i="3"/>
  <c r="L104" i="3"/>
  <c r="M104" i="3" s="1"/>
  <c r="E6" i="12"/>
  <c r="H26" i="12" l="1"/>
  <c r="E26" i="12"/>
  <c r="G26" i="12"/>
  <c r="F13" i="12"/>
  <c r="F17" i="12"/>
  <c r="AW35" i="10"/>
  <c r="AX35" i="10"/>
  <c r="AB105" i="3"/>
  <c r="AE105" i="3"/>
  <c r="AC102" i="3"/>
  <c r="AF102" i="3"/>
  <c r="L105" i="3"/>
  <c r="M105" i="3" s="1"/>
  <c r="F6" i="12"/>
  <c r="F26" i="12" l="1"/>
  <c r="AB106" i="3"/>
  <c r="AE106" i="3"/>
  <c r="L106" i="3"/>
  <c r="M106" i="3" s="1"/>
  <c r="D10" i="8"/>
  <c r="G27" i="12" l="1"/>
  <c r="D14" i="8"/>
  <c r="I27" i="12"/>
  <c r="D16" i="8"/>
  <c r="AB107" i="3"/>
  <c r="AE107" i="3"/>
  <c r="D13" i="8"/>
  <c r="L107" i="3"/>
  <c r="M107" i="3" s="1"/>
  <c r="H27" i="12" l="1"/>
  <c r="F27" i="12" s="1"/>
  <c r="E27" i="12" s="1"/>
  <c r="D15" i="8"/>
  <c r="AB108" i="3"/>
  <c r="AE108" i="3"/>
  <c r="L108" i="3"/>
  <c r="M108" i="3" s="1"/>
  <c r="AB109" i="3" l="1"/>
  <c r="AE109" i="3"/>
  <c r="L109" i="3"/>
  <c r="M109" i="3" s="1"/>
  <c r="AB110" i="3" l="1"/>
  <c r="AE110" i="3"/>
  <c r="L110" i="3"/>
  <c r="M110" i="3" s="1"/>
  <c r="AB111" i="3" l="1"/>
  <c r="AE111" i="3"/>
  <c r="L111" i="3"/>
  <c r="M111" i="3" s="1"/>
  <c r="AB112" i="3" l="1"/>
  <c r="AE112" i="3"/>
  <c r="L112" i="3"/>
  <c r="M112" i="3" s="1"/>
  <c r="AB113" i="3" l="1"/>
  <c r="AE113" i="3"/>
  <c r="L113" i="3"/>
  <c r="M113" i="3" s="1"/>
  <c r="AB114" i="3" l="1"/>
  <c r="AE114" i="3"/>
  <c r="O114" i="3"/>
  <c r="P114" i="3" s="1"/>
  <c r="L114" i="3"/>
  <c r="M114" i="3" s="1"/>
  <c r="O41" i="3"/>
  <c r="P41" i="3" s="1"/>
  <c r="AS41" i="3" s="1"/>
  <c r="O92" i="3"/>
  <c r="P92" i="3" s="1"/>
  <c r="AS92" i="3" s="1"/>
  <c r="O63" i="3"/>
  <c r="P63" i="3" s="1"/>
  <c r="AS63" i="3" s="1"/>
  <c r="O10" i="3"/>
  <c r="P10" i="3" s="1"/>
  <c r="AS10" i="3" s="1"/>
  <c r="AS114" i="3" l="1"/>
  <c r="AB115" i="3"/>
  <c r="AE115" i="3"/>
  <c r="Q10" i="3"/>
  <c r="Q114" i="3"/>
  <c r="Q63" i="3"/>
  <c r="Q92" i="3"/>
  <c r="Q41" i="3"/>
  <c r="J10" i="3"/>
  <c r="J63" i="3"/>
  <c r="J41" i="3"/>
  <c r="S41" i="3" s="1"/>
  <c r="J92" i="3"/>
  <c r="S92" i="3" s="1"/>
  <c r="O115" i="3"/>
  <c r="P115" i="3" s="1"/>
  <c r="L115" i="3"/>
  <c r="M115" i="3" s="1"/>
  <c r="O109" i="3"/>
  <c r="P109" i="3" s="1"/>
  <c r="AS109" i="3" s="1"/>
  <c r="O84" i="3"/>
  <c r="P84" i="3" s="1"/>
  <c r="AS84" i="3" s="1"/>
  <c r="O103" i="3"/>
  <c r="P103" i="3" s="1"/>
  <c r="AS103" i="3" s="1"/>
  <c r="O93" i="3"/>
  <c r="P93" i="3" s="1"/>
  <c r="AS93" i="3" s="1"/>
  <c r="J114" i="3"/>
  <c r="S114" i="3" s="1"/>
  <c r="AS115" i="3" l="1"/>
  <c r="AB116" i="3"/>
  <c r="AE116" i="3"/>
  <c r="Q115" i="3"/>
  <c r="Q93" i="3"/>
  <c r="Q84" i="3"/>
  <c r="T92" i="3"/>
  <c r="S63" i="3"/>
  <c r="S10" i="3"/>
  <c r="Q103" i="3"/>
  <c r="T114" i="3"/>
  <c r="Q109" i="3"/>
  <c r="T41" i="3"/>
  <c r="J103" i="3"/>
  <c r="S103" i="3" s="1"/>
  <c r="J84" i="3"/>
  <c r="J93" i="3"/>
  <c r="S93" i="3" s="1"/>
  <c r="J109" i="3"/>
  <c r="J115" i="3"/>
  <c r="O116" i="3"/>
  <c r="P116" i="3" s="1"/>
  <c r="L116" i="3"/>
  <c r="M116" i="3" s="1"/>
  <c r="O59" i="3"/>
  <c r="P59" i="3" s="1"/>
  <c r="AS59" i="3" s="1"/>
  <c r="O106" i="3"/>
  <c r="P106" i="3" s="1"/>
  <c r="AS106" i="3" s="1"/>
  <c r="O90" i="3"/>
  <c r="P90" i="3" s="1"/>
  <c r="AS90" i="3" s="1"/>
  <c r="O55" i="3"/>
  <c r="P55" i="3" s="1"/>
  <c r="AS55" i="3" s="1"/>
  <c r="T10" i="3" l="1"/>
  <c r="AF10" i="3" s="1"/>
  <c r="AS116" i="3"/>
  <c r="T63" i="3"/>
  <c r="AC63" i="3" s="1"/>
  <c r="AB117" i="3"/>
  <c r="AE117" i="3"/>
  <c r="Q106" i="3"/>
  <c r="Q90" i="3"/>
  <c r="Q59" i="3"/>
  <c r="T103" i="3"/>
  <c r="S109" i="3"/>
  <c r="S84" i="3"/>
  <c r="Q116" i="3"/>
  <c r="AC41" i="3"/>
  <c r="AF41" i="3"/>
  <c r="AC92" i="3"/>
  <c r="AF92" i="3"/>
  <c r="Q55" i="3"/>
  <c r="T93" i="3"/>
  <c r="AC114" i="3"/>
  <c r="AF114" i="3"/>
  <c r="S115" i="3"/>
  <c r="J90" i="3"/>
  <c r="J106" i="3"/>
  <c r="J55" i="3"/>
  <c r="S55" i="3" s="1"/>
  <c r="J59" i="3"/>
  <c r="S59" i="3" s="1"/>
  <c r="O117" i="3"/>
  <c r="P117" i="3" s="1"/>
  <c r="L117" i="3"/>
  <c r="M117" i="3" s="1"/>
  <c r="O91" i="3"/>
  <c r="P91" i="3" s="1"/>
  <c r="AS91" i="3" s="1"/>
  <c r="O60" i="3"/>
  <c r="P60" i="3" s="1"/>
  <c r="AS60" i="3" s="1"/>
  <c r="O85" i="3"/>
  <c r="P85" i="3" s="1"/>
  <c r="AS85" i="3" s="1"/>
  <c r="O79" i="3"/>
  <c r="P79" i="3" s="1"/>
  <c r="AS79" i="3" s="1"/>
  <c r="J116" i="3"/>
  <c r="AC10" i="3" l="1"/>
  <c r="AS117" i="3"/>
  <c r="AF63" i="3"/>
  <c r="T115" i="3"/>
  <c r="AF115" i="3" s="1"/>
  <c r="T84" i="3"/>
  <c r="AF84" i="3" s="1"/>
  <c r="T109" i="3"/>
  <c r="AF109" i="3" s="1"/>
  <c r="AB118" i="3"/>
  <c r="AE118" i="3"/>
  <c r="Q85" i="3"/>
  <c r="Q60" i="3"/>
  <c r="AC93" i="3"/>
  <c r="AF93" i="3"/>
  <c r="S106" i="3"/>
  <c r="Q91" i="3"/>
  <c r="T59" i="3"/>
  <c r="S116" i="3"/>
  <c r="AC103" i="3"/>
  <c r="AF103" i="3"/>
  <c r="Q79" i="3"/>
  <c r="Q117" i="3"/>
  <c r="T55" i="3"/>
  <c r="S90" i="3"/>
  <c r="J85" i="3"/>
  <c r="J60" i="3"/>
  <c r="J79" i="3"/>
  <c r="S79" i="3" s="1"/>
  <c r="J91" i="3"/>
  <c r="J117" i="3"/>
  <c r="O118" i="3"/>
  <c r="P118" i="3" s="1"/>
  <c r="L118" i="3"/>
  <c r="M118" i="3" s="1"/>
  <c r="O104" i="3"/>
  <c r="P104" i="3" s="1"/>
  <c r="AS104" i="3" s="1"/>
  <c r="O110" i="3"/>
  <c r="P110" i="3" s="1"/>
  <c r="AS110" i="3" s="1"/>
  <c r="O95" i="3"/>
  <c r="P95" i="3" s="1"/>
  <c r="AS95" i="3" s="1"/>
  <c r="O86" i="3"/>
  <c r="P86" i="3" s="1"/>
  <c r="AS86" i="3" s="1"/>
  <c r="AC115" i="3" l="1"/>
  <c r="AC109" i="3"/>
  <c r="AC84" i="3"/>
  <c r="AS118" i="3"/>
  <c r="T90" i="3"/>
  <c r="AC90" i="3" s="1"/>
  <c r="T116" i="3"/>
  <c r="AF116" i="3" s="1"/>
  <c r="T106" i="3"/>
  <c r="AC106" i="3" s="1"/>
  <c r="AB119" i="3"/>
  <c r="AE119" i="3"/>
  <c r="Q104" i="3"/>
  <c r="S85" i="3"/>
  <c r="Q86" i="3"/>
  <c r="Q118" i="3"/>
  <c r="T79" i="3"/>
  <c r="Q95" i="3"/>
  <c r="S91" i="3"/>
  <c r="T91" i="3" s="1"/>
  <c r="S60" i="3"/>
  <c r="Q110" i="3"/>
  <c r="AC55" i="3"/>
  <c r="AF55" i="3"/>
  <c r="S117" i="3"/>
  <c r="AC59" i="3"/>
  <c r="AF59" i="3"/>
  <c r="J110" i="3"/>
  <c r="J104" i="3"/>
  <c r="S104" i="3" s="1"/>
  <c r="J95" i="3"/>
  <c r="J86" i="3"/>
  <c r="S86" i="3" s="1"/>
  <c r="J118" i="3"/>
  <c r="O119" i="3"/>
  <c r="P119" i="3" s="1"/>
  <c r="L119" i="3"/>
  <c r="M119" i="3" s="1"/>
  <c r="O87" i="3"/>
  <c r="P87" i="3" s="1"/>
  <c r="AS87" i="3" s="1"/>
  <c r="O96" i="3"/>
  <c r="P96" i="3" s="1"/>
  <c r="AS96" i="3" s="1"/>
  <c r="O111" i="3"/>
  <c r="P111" i="3" s="1"/>
  <c r="AS111" i="3" s="1"/>
  <c r="O105" i="3"/>
  <c r="P105" i="3" s="1"/>
  <c r="AS105" i="3" s="1"/>
  <c r="AC116" i="3" l="1"/>
  <c r="AF90" i="3"/>
  <c r="AF106" i="3"/>
  <c r="AS119" i="3"/>
  <c r="T117" i="3"/>
  <c r="AC117" i="3" s="1"/>
  <c r="T60" i="3"/>
  <c r="AF60" i="3" s="1"/>
  <c r="T85" i="3"/>
  <c r="AC85" i="3" s="1"/>
  <c r="AB120" i="3"/>
  <c r="AE120" i="3"/>
  <c r="Q96" i="3"/>
  <c r="AC79" i="3"/>
  <c r="AF79" i="3"/>
  <c r="Q111" i="3"/>
  <c r="Q87" i="3"/>
  <c r="T86" i="3"/>
  <c r="AC91" i="3"/>
  <c r="AF91" i="3"/>
  <c r="Q119" i="3"/>
  <c r="S110" i="3"/>
  <c r="T110" i="3" s="1"/>
  <c r="S118" i="3"/>
  <c r="Q105" i="3"/>
  <c r="T104" i="3"/>
  <c r="S95" i="3"/>
  <c r="J119" i="3"/>
  <c r="S119" i="3" s="1"/>
  <c r="J105" i="3"/>
  <c r="J111" i="3"/>
  <c r="S111" i="3" s="1"/>
  <c r="J87" i="3"/>
  <c r="S87" i="3" s="1"/>
  <c r="J96" i="3"/>
  <c r="O120" i="3"/>
  <c r="P120" i="3" s="1"/>
  <c r="L120" i="3"/>
  <c r="M120" i="3" s="1"/>
  <c r="O75" i="3"/>
  <c r="P75" i="3" s="1"/>
  <c r="AS75" i="3" s="1"/>
  <c r="O9" i="3"/>
  <c r="P9" i="3" s="1"/>
  <c r="AS9" i="3" s="1"/>
  <c r="G27" i="13" l="1"/>
  <c r="D28" i="8"/>
  <c r="AC60" i="3"/>
  <c r="AF85" i="3"/>
  <c r="AF117" i="3"/>
  <c r="T118" i="3"/>
  <c r="AC118" i="3" s="1"/>
  <c r="AS120" i="3"/>
  <c r="T111" i="3"/>
  <c r="AF111" i="3" s="1"/>
  <c r="T95" i="3"/>
  <c r="AF95" i="3" s="1"/>
  <c r="AB121" i="3"/>
  <c r="AE121" i="3"/>
  <c r="AC86" i="3"/>
  <c r="AF86" i="3"/>
  <c r="Q9" i="3"/>
  <c r="AC110" i="3"/>
  <c r="AF110" i="3"/>
  <c r="T119" i="3"/>
  <c r="Q75" i="3"/>
  <c r="AC104" i="3"/>
  <c r="AF104" i="3"/>
  <c r="S105" i="3"/>
  <c r="S96" i="3"/>
  <c r="Q120" i="3"/>
  <c r="T87" i="3"/>
  <c r="J9" i="3"/>
  <c r="S9" i="3" s="1"/>
  <c r="J75" i="3"/>
  <c r="J120" i="3"/>
  <c r="O121" i="3"/>
  <c r="P121" i="3" s="1"/>
  <c r="L121" i="3"/>
  <c r="M121" i="3" s="1"/>
  <c r="O112" i="3"/>
  <c r="P112" i="3" s="1"/>
  <c r="AS112" i="3" s="1"/>
  <c r="O107" i="3"/>
  <c r="P107" i="3" s="1"/>
  <c r="AS107" i="3" s="1"/>
  <c r="O97" i="3"/>
  <c r="P97" i="3" s="1"/>
  <c r="AS97" i="3" s="1"/>
  <c r="O88" i="3"/>
  <c r="P88" i="3" s="1"/>
  <c r="AS88" i="3" s="1"/>
  <c r="I27" i="13" l="1"/>
  <c r="D30" i="8"/>
  <c r="H27" i="13"/>
  <c r="D29" i="8"/>
  <c r="AC95" i="3"/>
  <c r="AC111" i="3"/>
  <c r="AF118" i="3"/>
  <c r="AS121" i="3"/>
  <c r="T96" i="3"/>
  <c r="AF96" i="3" s="1"/>
  <c r="T105" i="3"/>
  <c r="AC105" i="3" s="1"/>
  <c r="AB122" i="3"/>
  <c r="AE122" i="3"/>
  <c r="AC119" i="3"/>
  <c r="AF119" i="3"/>
  <c r="Q97" i="3"/>
  <c r="Q107" i="3"/>
  <c r="AC87" i="3"/>
  <c r="AF87" i="3"/>
  <c r="S120" i="3"/>
  <c r="Q112" i="3"/>
  <c r="S75" i="3"/>
  <c r="T75" i="3" s="1"/>
  <c r="Q88" i="3"/>
  <c r="Q121" i="3"/>
  <c r="T9" i="3"/>
  <c r="J88" i="3"/>
  <c r="S88" i="3" s="1"/>
  <c r="J112" i="3"/>
  <c r="J97" i="3"/>
  <c r="J107" i="3"/>
  <c r="J121" i="3"/>
  <c r="O122" i="3"/>
  <c r="P122" i="3" s="1"/>
  <c r="L122" i="3"/>
  <c r="M122" i="3" s="1"/>
  <c r="O113" i="3"/>
  <c r="P113" i="3" s="1"/>
  <c r="AS113" i="3" s="1"/>
  <c r="O108" i="3"/>
  <c r="P108" i="3" s="1"/>
  <c r="AS108" i="3" s="1"/>
  <c r="O89" i="3"/>
  <c r="P89" i="3" s="1"/>
  <c r="AS89" i="3" s="1"/>
  <c r="O98" i="3"/>
  <c r="P98" i="3" s="1"/>
  <c r="AS98" i="3" s="1"/>
  <c r="D27" i="8"/>
  <c r="F27" i="13" l="1"/>
  <c r="E27" i="13" s="1"/>
  <c r="AF105" i="3"/>
  <c r="AC96" i="3"/>
  <c r="AS122" i="3"/>
  <c r="T120" i="3"/>
  <c r="AF120" i="3" s="1"/>
  <c r="V3" i="3"/>
  <c r="AO4" i="3"/>
  <c r="AH4" i="3"/>
  <c r="V4" i="3"/>
  <c r="Y6" i="3"/>
  <c r="Z6" i="3" s="1"/>
  <c r="Y4" i="3"/>
  <c r="Y10" i="3"/>
  <c r="Z10" i="3" s="1"/>
  <c r="AH24" i="3"/>
  <c r="AI24" i="3" s="1"/>
  <c r="AH11" i="3"/>
  <c r="AI11" i="3" s="1"/>
  <c r="Y11" i="3"/>
  <c r="Z11" i="3" s="1"/>
  <c r="Y8" i="3"/>
  <c r="Y5" i="3"/>
  <c r="AH3" i="3"/>
  <c r="Y9" i="3"/>
  <c r="Z9" i="3" s="1"/>
  <c r="Y3" i="3"/>
  <c r="Y7" i="3"/>
  <c r="Z7" i="3" s="1"/>
  <c r="Y12" i="3"/>
  <c r="AH12" i="3"/>
  <c r="Q113" i="3"/>
  <c r="Q122" i="3"/>
  <c r="AC75" i="3"/>
  <c r="AF75" i="3"/>
  <c r="Q98" i="3"/>
  <c r="S97" i="3"/>
  <c r="Q89" i="3"/>
  <c r="Q108" i="3"/>
  <c r="T88" i="3"/>
  <c r="AC9" i="3"/>
  <c r="AF9" i="3"/>
  <c r="S121" i="3"/>
  <c r="S112" i="3"/>
  <c r="S107" i="3"/>
  <c r="J108" i="3"/>
  <c r="J113" i="3"/>
  <c r="S113" i="3" s="1"/>
  <c r="J98" i="3"/>
  <c r="J89" i="3"/>
  <c r="J122" i="3"/>
  <c r="AO3" i="3"/>
  <c r="O12" i="3"/>
  <c r="P12" i="3" s="1"/>
  <c r="AS12" i="3" s="1"/>
  <c r="O4" i="3"/>
  <c r="P4" i="3" s="1"/>
  <c r="AS4" i="3" s="1"/>
  <c r="O13" i="3"/>
  <c r="P13" i="3" s="1"/>
  <c r="AS13" i="3" s="1"/>
  <c r="O14" i="3"/>
  <c r="P14" i="3" s="1"/>
  <c r="AS14" i="3" s="1"/>
  <c r="O29" i="3"/>
  <c r="P29" i="3" s="1"/>
  <c r="AS29" i="3" s="1"/>
  <c r="O30" i="3"/>
  <c r="P30" i="3" s="1"/>
  <c r="AS30" i="3" s="1"/>
  <c r="O3" i="3"/>
  <c r="P3" i="3" s="1"/>
  <c r="AS3" i="3" s="1"/>
  <c r="O31" i="3"/>
  <c r="P31" i="3" s="1"/>
  <c r="AS31" i="3" s="1"/>
  <c r="O5" i="3"/>
  <c r="P5" i="3" s="1"/>
  <c r="AS5" i="3" s="1"/>
  <c r="O32" i="3"/>
  <c r="P32" i="3" s="1"/>
  <c r="AS32" i="3" s="1"/>
  <c r="O33" i="3"/>
  <c r="P33" i="3" s="1"/>
  <c r="AS33" i="3" s="1"/>
  <c r="O36" i="3"/>
  <c r="P36" i="3" s="1"/>
  <c r="AS36" i="3" s="1"/>
  <c r="O37" i="3"/>
  <c r="P37" i="3" s="1"/>
  <c r="AS37" i="3" s="1"/>
  <c r="O38" i="3"/>
  <c r="P38" i="3" s="1"/>
  <c r="AS38" i="3" s="1"/>
  <c r="O39" i="3"/>
  <c r="P39" i="3" s="1"/>
  <c r="AS39" i="3" s="1"/>
  <c r="O40" i="3"/>
  <c r="P40" i="3" s="1"/>
  <c r="AS40" i="3" s="1"/>
  <c r="O42" i="3"/>
  <c r="P42" i="3" s="1"/>
  <c r="AS42" i="3" s="1"/>
  <c r="O8" i="3"/>
  <c r="P8" i="3" s="1"/>
  <c r="AS8" i="3" s="1"/>
  <c r="O44" i="3"/>
  <c r="P44" i="3" s="1"/>
  <c r="AS44" i="3" s="1"/>
  <c r="O45" i="3"/>
  <c r="P45" i="3" s="1"/>
  <c r="AS45" i="3" s="1"/>
  <c r="O46" i="3"/>
  <c r="P46" i="3" s="1"/>
  <c r="AS46" i="3" s="1"/>
  <c r="O47" i="3"/>
  <c r="P47" i="3" s="1"/>
  <c r="AS47" i="3" s="1"/>
  <c r="O50" i="3"/>
  <c r="P50" i="3" s="1"/>
  <c r="AS50" i="3" s="1"/>
  <c r="O35" i="3"/>
  <c r="P35" i="3" s="1"/>
  <c r="AS35" i="3" s="1"/>
  <c r="O51" i="3"/>
  <c r="P51" i="3" s="1"/>
  <c r="AS51" i="3" s="1"/>
  <c r="O52" i="3"/>
  <c r="P52" i="3" s="1"/>
  <c r="AS52" i="3" s="1"/>
  <c r="O53" i="3"/>
  <c r="P53" i="3" s="1"/>
  <c r="AS53" i="3" s="1"/>
  <c r="O54" i="3"/>
  <c r="P54" i="3" s="1"/>
  <c r="AS54" i="3" s="1"/>
  <c r="O34" i="3"/>
  <c r="P34" i="3" s="1"/>
  <c r="AS34" i="3" s="1"/>
  <c r="O49" i="3"/>
  <c r="P49" i="3" s="1"/>
  <c r="AS49" i="3" s="1"/>
  <c r="O56" i="3"/>
  <c r="P56" i="3" s="1"/>
  <c r="AS56" i="3" s="1"/>
  <c r="O57" i="3"/>
  <c r="P57" i="3" s="1"/>
  <c r="AS57" i="3" s="1"/>
  <c r="O58" i="3"/>
  <c r="P58" i="3" s="1"/>
  <c r="AS58" i="3" s="1"/>
  <c r="O61" i="3"/>
  <c r="P61" i="3" s="1"/>
  <c r="AS61" i="3" s="1"/>
  <c r="O62" i="3"/>
  <c r="P62" i="3" s="1"/>
  <c r="AS62" i="3" s="1"/>
  <c r="O64" i="3"/>
  <c r="P64" i="3" s="1"/>
  <c r="AS64" i="3" s="1"/>
  <c r="O73" i="3"/>
  <c r="P73" i="3" s="1"/>
  <c r="AS73" i="3" s="1"/>
  <c r="O74" i="3"/>
  <c r="P74" i="3" s="1"/>
  <c r="AS74" i="3" s="1"/>
  <c r="O48" i="3"/>
  <c r="P48" i="3" s="1"/>
  <c r="AS48" i="3" s="1"/>
  <c r="O76" i="3"/>
  <c r="P76" i="3" s="1"/>
  <c r="AS76" i="3" s="1"/>
  <c r="O77" i="3"/>
  <c r="P77" i="3" s="1"/>
  <c r="AS77" i="3" s="1"/>
  <c r="O78" i="3"/>
  <c r="P78" i="3" s="1"/>
  <c r="AS78" i="3" s="1"/>
  <c r="O80" i="3"/>
  <c r="P80" i="3" s="1"/>
  <c r="AS80" i="3" s="1"/>
  <c r="O81" i="3"/>
  <c r="P81" i="3" s="1"/>
  <c r="AS81" i="3" s="1"/>
  <c r="O82" i="3"/>
  <c r="P82" i="3" s="1"/>
  <c r="AS82" i="3" s="1"/>
  <c r="O83" i="3"/>
  <c r="P83" i="3" s="1"/>
  <c r="AS83" i="3" s="1"/>
  <c r="J19" i="7" l="1"/>
  <c r="J23" i="7"/>
  <c r="J17" i="7"/>
  <c r="J12" i="7"/>
  <c r="J21" i="7"/>
  <c r="J20" i="7"/>
  <c r="J10" i="7"/>
  <c r="J18" i="7"/>
  <c r="AC120" i="3"/>
  <c r="T107" i="3"/>
  <c r="AC107" i="3" s="1"/>
  <c r="T112" i="3"/>
  <c r="AF112" i="3" s="1"/>
  <c r="T121" i="3"/>
  <c r="AC121" i="3" s="1"/>
  <c r="T97" i="3"/>
  <c r="AC97" i="3" s="1"/>
  <c r="T113" i="3"/>
  <c r="AC113" i="3" s="1"/>
  <c r="Q78" i="3"/>
  <c r="Q77" i="3"/>
  <c r="Q73" i="3"/>
  <c r="Q58" i="3"/>
  <c r="Q34" i="3"/>
  <c r="Q51" i="3"/>
  <c r="Q46" i="3"/>
  <c r="Q42" i="3"/>
  <c r="Q37" i="3"/>
  <c r="Q5" i="3"/>
  <c r="Q29" i="3"/>
  <c r="Q12" i="3"/>
  <c r="AC88" i="3"/>
  <c r="AF88" i="3"/>
  <c r="Q82" i="3"/>
  <c r="Q81" i="3"/>
  <c r="Q76" i="3"/>
  <c r="Q64" i="3"/>
  <c r="Q57" i="3"/>
  <c r="Q54" i="3"/>
  <c r="Q35" i="3"/>
  <c r="Q45" i="3"/>
  <c r="Q40" i="3"/>
  <c r="Q36" i="3"/>
  <c r="Q31" i="3"/>
  <c r="Q14" i="3"/>
  <c r="S89" i="3"/>
  <c r="Q80" i="3"/>
  <c r="Q48" i="3"/>
  <c r="Q62" i="3"/>
  <c r="Q56" i="3"/>
  <c r="Q53" i="3"/>
  <c r="Q50" i="3"/>
  <c r="Q44" i="3"/>
  <c r="Q39" i="3"/>
  <c r="Q33" i="3"/>
  <c r="Q13" i="3"/>
  <c r="Q83" i="3"/>
  <c r="Q74" i="3"/>
  <c r="Q61" i="3"/>
  <c r="Q49" i="3"/>
  <c r="Q52" i="3"/>
  <c r="Q47" i="3"/>
  <c r="Q8" i="3"/>
  <c r="Q38" i="3"/>
  <c r="Q32" i="3"/>
  <c r="Q30" i="3"/>
  <c r="Q4" i="3"/>
  <c r="S108" i="3"/>
  <c r="S98" i="3"/>
  <c r="S122" i="3"/>
  <c r="J80" i="3"/>
  <c r="J48" i="3"/>
  <c r="J62" i="3"/>
  <c r="S62" i="3" s="1"/>
  <c r="J56" i="3"/>
  <c r="S56" i="3" s="1"/>
  <c r="J53" i="3"/>
  <c r="J50" i="3"/>
  <c r="J44" i="3"/>
  <c r="S44" i="3" s="1"/>
  <c r="J39" i="3"/>
  <c r="J33" i="3"/>
  <c r="J3" i="3"/>
  <c r="Q3" i="3"/>
  <c r="J13" i="3"/>
  <c r="J81" i="3"/>
  <c r="J76" i="3"/>
  <c r="J64" i="3"/>
  <c r="S64" i="3" s="1"/>
  <c r="J57" i="3"/>
  <c r="S57" i="3" s="1"/>
  <c r="J54" i="3"/>
  <c r="J35" i="3"/>
  <c r="J45" i="3"/>
  <c r="J40" i="3"/>
  <c r="J36" i="3"/>
  <c r="J31" i="3"/>
  <c r="J14" i="3"/>
  <c r="J83" i="3"/>
  <c r="S83" i="3" s="1"/>
  <c r="J78" i="3"/>
  <c r="J74" i="3"/>
  <c r="J61" i="3"/>
  <c r="S61" i="3" s="1"/>
  <c r="J49" i="3"/>
  <c r="S49" i="3" s="1"/>
  <c r="J52" i="3"/>
  <c r="J47" i="3"/>
  <c r="J8" i="3"/>
  <c r="J38" i="3"/>
  <c r="J32" i="3"/>
  <c r="J30" i="3"/>
  <c r="J4" i="3"/>
  <c r="J82" i="3"/>
  <c r="S82" i="3" s="1"/>
  <c r="J77" i="3"/>
  <c r="J73" i="3"/>
  <c r="J58" i="3"/>
  <c r="J34" i="3"/>
  <c r="S34" i="3" s="1"/>
  <c r="J51" i="3"/>
  <c r="J46" i="3"/>
  <c r="J42" i="3"/>
  <c r="S42" i="3" s="1"/>
  <c r="J37" i="3"/>
  <c r="J5" i="3"/>
  <c r="J29" i="3"/>
  <c r="J12" i="3"/>
  <c r="J26" i="7" l="1"/>
  <c r="AC112" i="3"/>
  <c r="AF113" i="3"/>
  <c r="AF107" i="3"/>
  <c r="AF121" i="3"/>
  <c r="AF97" i="3"/>
  <c r="T42" i="3"/>
  <c r="AC42" i="3" s="1"/>
  <c r="T64" i="3"/>
  <c r="AC64" i="3" s="1"/>
  <c r="T44" i="3"/>
  <c r="AC44" i="3" s="1"/>
  <c r="T56" i="3"/>
  <c r="AF56" i="3" s="1"/>
  <c r="T62" i="3"/>
  <c r="AF62" i="3" s="1"/>
  <c r="T122" i="3"/>
  <c r="AC122" i="3" s="1"/>
  <c r="T98" i="3"/>
  <c r="AF98" i="3" s="1"/>
  <c r="T108" i="3"/>
  <c r="AF108" i="3" s="1"/>
  <c r="T89" i="3"/>
  <c r="AF89" i="3" s="1"/>
  <c r="S3" i="3"/>
  <c r="T3" i="3" s="1"/>
  <c r="S38" i="3"/>
  <c r="S47" i="3"/>
  <c r="S39" i="3"/>
  <c r="S48" i="3"/>
  <c r="S31" i="3"/>
  <c r="T31" i="3" s="1"/>
  <c r="S35" i="3"/>
  <c r="T49" i="3"/>
  <c r="T57" i="3"/>
  <c r="T34" i="3"/>
  <c r="T82" i="3"/>
  <c r="S30" i="3"/>
  <c r="S74" i="3"/>
  <c r="S33" i="3"/>
  <c r="S53" i="3"/>
  <c r="S40" i="3"/>
  <c r="S76" i="3"/>
  <c r="S12" i="3"/>
  <c r="S5" i="3"/>
  <c r="S51" i="3"/>
  <c r="S58" i="3"/>
  <c r="S32" i="3"/>
  <c r="S8" i="3"/>
  <c r="S80" i="3"/>
  <c r="S14" i="3"/>
  <c r="S36" i="3"/>
  <c r="S45" i="3"/>
  <c r="S54" i="3"/>
  <c r="S77" i="3"/>
  <c r="T61" i="3"/>
  <c r="S4" i="3"/>
  <c r="S52" i="3"/>
  <c r="T83" i="3"/>
  <c r="S13" i="3"/>
  <c r="S50" i="3"/>
  <c r="S81" i="3"/>
  <c r="S29" i="3"/>
  <c r="S37" i="3"/>
  <c r="S46" i="3"/>
  <c r="S73" i="3"/>
  <c r="S78" i="3"/>
  <c r="AC98" i="3" l="1"/>
  <c r="AF44" i="3"/>
  <c r="AF42" i="3"/>
  <c r="AC56" i="3"/>
  <c r="AC89" i="3"/>
  <c r="AC108" i="3"/>
  <c r="AC62" i="3"/>
  <c r="AF122" i="3"/>
  <c r="AF64" i="3"/>
  <c r="T78" i="3"/>
  <c r="AC78" i="3" s="1"/>
  <c r="T73" i="3"/>
  <c r="AC73" i="3" s="1"/>
  <c r="T46" i="3"/>
  <c r="AC46" i="3" s="1"/>
  <c r="T37" i="3"/>
  <c r="AF37" i="3" s="1"/>
  <c r="T29" i="3"/>
  <c r="AC29" i="3" s="1"/>
  <c r="T81" i="3"/>
  <c r="AF81" i="3" s="1"/>
  <c r="T50" i="3"/>
  <c r="T13" i="3"/>
  <c r="AC13" i="3" s="1"/>
  <c r="T52" i="3"/>
  <c r="AF52" i="3" s="1"/>
  <c r="T4" i="3"/>
  <c r="T77" i="3"/>
  <c r="AF77" i="3" s="1"/>
  <c r="T54" i="3"/>
  <c r="AC54" i="3" s="1"/>
  <c r="T45" i="3"/>
  <c r="AF45" i="3" s="1"/>
  <c r="T36" i="3"/>
  <c r="AC36" i="3" s="1"/>
  <c r="T14" i="3"/>
  <c r="AC14" i="3" s="1"/>
  <c r="T80" i="3"/>
  <c r="AF80" i="3" s="1"/>
  <c r="T8" i="3"/>
  <c r="Z8" i="3" s="1"/>
  <c r="T32" i="3"/>
  <c r="AF32" i="3" s="1"/>
  <c r="T58" i="3"/>
  <c r="T51" i="3"/>
  <c r="AF51" i="3" s="1"/>
  <c r="T5" i="3"/>
  <c r="AC5" i="3" s="1"/>
  <c r="T12" i="3"/>
  <c r="T76" i="3"/>
  <c r="AC76" i="3" s="1"/>
  <c r="T40" i="3"/>
  <c r="AC40" i="3" s="1"/>
  <c r="T53" i="3"/>
  <c r="AC53" i="3" s="1"/>
  <c r="T33" i="3"/>
  <c r="AF33" i="3" s="1"/>
  <c r="T74" i="3"/>
  <c r="AF74" i="3" s="1"/>
  <c r="T30" i="3"/>
  <c r="AF30" i="3" s="1"/>
  <c r="T35" i="3"/>
  <c r="AC35" i="3" s="1"/>
  <c r="T48" i="3"/>
  <c r="AC48" i="3" s="1"/>
  <c r="T39" i="3"/>
  <c r="AC39" i="3" s="1"/>
  <c r="T47" i="3"/>
  <c r="AC47" i="3" s="1"/>
  <c r="T38" i="3"/>
  <c r="AF38" i="3" s="1"/>
  <c r="AC61" i="3"/>
  <c r="AF61" i="3"/>
  <c r="AC83" i="3"/>
  <c r="AF83" i="3"/>
  <c r="AC57" i="3"/>
  <c r="AF57" i="3"/>
  <c r="AC49" i="3"/>
  <c r="AF49" i="3"/>
  <c r="AC31" i="3"/>
  <c r="AF31" i="3"/>
  <c r="AC82" i="3"/>
  <c r="AF82" i="3"/>
  <c r="AC34" i="3"/>
  <c r="AF34" i="3"/>
  <c r="AH10" i="3"/>
  <c r="AI10" i="3" s="1"/>
  <c r="AC3" i="3"/>
  <c r="Z3" i="3"/>
  <c r="AI3" i="3"/>
  <c r="AF3" i="3"/>
  <c r="W3" i="3"/>
  <c r="Y127" i="3" l="1"/>
  <c r="Z127" i="3" s="1"/>
  <c r="Y125" i="3"/>
  <c r="Z125" i="3" s="1"/>
  <c r="Y126" i="3"/>
  <c r="Z126" i="3" s="1"/>
  <c r="Y128" i="3"/>
  <c r="Z128" i="3" s="1"/>
  <c r="Y123" i="3"/>
  <c r="Z123" i="3" s="1"/>
  <c r="Y124" i="3"/>
  <c r="Z124" i="3" s="1"/>
  <c r="AH66" i="3"/>
  <c r="AI66" i="3" s="1"/>
  <c r="V124" i="3"/>
  <c r="W124" i="3" s="1"/>
  <c r="V123" i="3"/>
  <c r="W123" i="3" s="1"/>
  <c r="AH123" i="3"/>
  <c r="AI123" i="3" s="1"/>
  <c r="V125" i="3"/>
  <c r="W125" i="3" s="1"/>
  <c r="AH125" i="3"/>
  <c r="AI125" i="3" s="1"/>
  <c r="V127" i="3"/>
  <c r="W127" i="3" s="1"/>
  <c r="AH126" i="3"/>
  <c r="AI126" i="3" s="1"/>
  <c r="V128" i="3"/>
  <c r="W128" i="3" s="1"/>
  <c r="V126" i="3"/>
  <c r="W126" i="3" s="1"/>
  <c r="AH127" i="3"/>
  <c r="AI127" i="3" s="1"/>
  <c r="AH128" i="3"/>
  <c r="AI128" i="3" s="1"/>
  <c r="AH124" i="3"/>
  <c r="AI124" i="3" s="1"/>
  <c r="AH65" i="3"/>
  <c r="AI65" i="3" s="1"/>
  <c r="AH67" i="3"/>
  <c r="AI67" i="3" s="1"/>
  <c r="AH101" i="3"/>
  <c r="AI101" i="3" s="1"/>
  <c r="AH102" i="3"/>
  <c r="AI102" i="3" s="1"/>
  <c r="AI4" i="3"/>
  <c r="AH94" i="3"/>
  <c r="AI94" i="3" s="1"/>
  <c r="AH100" i="3"/>
  <c r="AI100" i="3" s="1"/>
  <c r="AH30" i="3"/>
  <c r="AI30" i="3" s="1"/>
  <c r="AC50" i="3"/>
  <c r="AH68" i="3"/>
  <c r="AI68" i="3" s="1"/>
  <c r="AH72" i="3"/>
  <c r="AI72" i="3" s="1"/>
  <c r="AH69" i="3"/>
  <c r="AI69" i="3" s="1"/>
  <c r="AH71" i="3"/>
  <c r="AI71" i="3" s="1"/>
  <c r="AH70" i="3"/>
  <c r="AI70" i="3" s="1"/>
  <c r="AH99" i="3"/>
  <c r="AI99" i="3" s="1"/>
  <c r="AC12" i="3"/>
  <c r="AH43" i="3"/>
  <c r="AI43" i="3" s="1"/>
  <c r="AH15" i="3"/>
  <c r="AI15" i="3" s="1"/>
  <c r="AF36" i="3"/>
  <c r="V22" i="3"/>
  <c r="W22" i="3" s="1"/>
  <c r="AH51" i="3"/>
  <c r="AI51" i="3" s="1"/>
  <c r="AF13" i="3"/>
  <c r="AC51" i="3"/>
  <c r="Z12" i="3"/>
  <c r="V33" i="3"/>
  <c r="W33" i="3" s="1"/>
  <c r="AF73" i="3"/>
  <c r="V53" i="3"/>
  <c r="W53" i="3" s="1"/>
  <c r="AH92" i="3"/>
  <c r="AI92" i="3" s="1"/>
  <c r="V31" i="3"/>
  <c r="W31" i="3" s="1"/>
  <c r="AH13" i="3"/>
  <c r="AI13" i="3" s="1"/>
  <c r="AH114" i="3"/>
  <c r="AI114" i="3" s="1"/>
  <c r="AF48" i="3"/>
  <c r="AC33" i="3"/>
  <c r="V38" i="3"/>
  <c r="W38" i="3" s="1"/>
  <c r="V122" i="3"/>
  <c r="W122" i="3" s="1"/>
  <c r="AC4" i="3"/>
  <c r="Y13" i="3"/>
  <c r="Z13" i="3" s="1"/>
  <c r="AF78" i="3"/>
  <c r="V118" i="3"/>
  <c r="W118" i="3" s="1"/>
  <c r="V42" i="3"/>
  <c r="W42" i="3" s="1"/>
  <c r="Z4" i="3"/>
  <c r="V5" i="3"/>
  <c r="V24" i="3"/>
  <c r="W24" i="3" s="1"/>
  <c r="AH106" i="3"/>
  <c r="AI106" i="3" s="1"/>
  <c r="Z5" i="3"/>
  <c r="AC81" i="3"/>
  <c r="AF35" i="3"/>
  <c r="AC8" i="3"/>
  <c r="V88" i="3"/>
  <c r="W88" i="3" s="1"/>
  <c r="V80" i="3"/>
  <c r="W80" i="3" s="1"/>
  <c r="V52" i="3"/>
  <c r="W52" i="3" s="1"/>
  <c r="V19" i="3"/>
  <c r="W19" i="3" s="1"/>
  <c r="V21" i="3"/>
  <c r="W21" i="3" s="1"/>
  <c r="V66" i="3"/>
  <c r="W66" i="3" s="1"/>
  <c r="V86" i="3"/>
  <c r="W86" i="3" s="1"/>
  <c r="V104" i="3"/>
  <c r="W104" i="3" s="1"/>
  <c r="V16" i="3"/>
  <c r="W16" i="3" s="1"/>
  <c r="AH9" i="3"/>
  <c r="AI9" i="3" s="1"/>
  <c r="AF53" i="3"/>
  <c r="AH97" i="3"/>
  <c r="AI97" i="3" s="1"/>
  <c r="AH32" i="3"/>
  <c r="AI32" i="3" s="1"/>
  <c r="AF29" i="3"/>
  <c r="V93" i="3"/>
  <c r="W93" i="3" s="1"/>
  <c r="V15" i="3"/>
  <c r="W15" i="3" s="1"/>
  <c r="V36" i="3"/>
  <c r="W36" i="3" s="1"/>
  <c r="V50" i="3"/>
  <c r="W50" i="3" s="1"/>
  <c r="V26" i="3"/>
  <c r="W26" i="3" s="1"/>
  <c r="V116" i="3"/>
  <c r="W116" i="3" s="1"/>
  <c r="V72" i="3"/>
  <c r="W72" i="3" s="1"/>
  <c r="V55" i="3"/>
  <c r="W55" i="3" s="1"/>
  <c r="AH81" i="3"/>
  <c r="AI81" i="3" s="1"/>
  <c r="AH38" i="3"/>
  <c r="AI38" i="3" s="1"/>
  <c r="Y121" i="3"/>
  <c r="Z121" i="3" s="1"/>
  <c r="AC45" i="3"/>
  <c r="V47" i="3"/>
  <c r="W47" i="3" s="1"/>
  <c r="V64" i="3"/>
  <c r="W64" i="3" s="1"/>
  <c r="V17" i="3"/>
  <c r="W17" i="3" s="1"/>
  <c r="V103" i="3"/>
  <c r="W103" i="3" s="1"/>
  <c r="V23" i="3"/>
  <c r="W23" i="3" s="1"/>
  <c r="V95" i="3"/>
  <c r="W95" i="3" s="1"/>
  <c r="V8" i="3"/>
  <c r="W8" i="3" s="1"/>
  <c r="V40" i="3"/>
  <c r="W40" i="3" s="1"/>
  <c r="V28" i="3"/>
  <c r="W28" i="3" s="1"/>
  <c r="AH116" i="3"/>
  <c r="AI116" i="3" s="1"/>
  <c r="AH35" i="3"/>
  <c r="AI35" i="3" s="1"/>
  <c r="AH64" i="3"/>
  <c r="AI64" i="3" s="1"/>
  <c r="Y46" i="3"/>
  <c r="Z46" i="3" s="1"/>
  <c r="AC32" i="3"/>
  <c r="AH85" i="3"/>
  <c r="AI85" i="3" s="1"/>
  <c r="V75" i="3"/>
  <c r="W75" i="3" s="1"/>
  <c r="V73" i="3"/>
  <c r="W73" i="3" s="1"/>
  <c r="V87" i="3"/>
  <c r="W87" i="3" s="1"/>
  <c r="V99" i="3"/>
  <c r="W99" i="3" s="1"/>
  <c r="W5" i="3"/>
  <c r="V56" i="3"/>
  <c r="W56" i="3" s="1"/>
  <c r="V49" i="3"/>
  <c r="W49" i="3" s="1"/>
  <c r="V44" i="3"/>
  <c r="W44" i="3" s="1"/>
  <c r="V11" i="3"/>
  <c r="W11" i="3" s="1"/>
  <c r="AJ11" i="3" s="1"/>
  <c r="AL11" i="3" s="1"/>
  <c r="V65" i="3"/>
  <c r="W65" i="3" s="1"/>
  <c r="V30" i="3"/>
  <c r="W30" i="3" s="1"/>
  <c r="V121" i="3"/>
  <c r="W121" i="3" s="1"/>
  <c r="V25" i="3"/>
  <c r="W25" i="3" s="1"/>
  <c r="V37" i="3"/>
  <c r="W37" i="3" s="1"/>
  <c r="V34" i="3"/>
  <c r="W34" i="3" s="1"/>
  <c r="V46" i="3"/>
  <c r="W46" i="3" s="1"/>
  <c r="V13" i="3"/>
  <c r="W13" i="3" s="1"/>
  <c r="AH55" i="3"/>
  <c r="AI55" i="3" s="1"/>
  <c r="AH79" i="3"/>
  <c r="AI79" i="3" s="1"/>
  <c r="AH58" i="3"/>
  <c r="AI58" i="3" s="1"/>
  <c r="AH7" i="3"/>
  <c r="AI7" i="3" s="1"/>
  <c r="AF58" i="3"/>
  <c r="AF46" i="3"/>
  <c r="Y94" i="3"/>
  <c r="Z94" i="3" s="1"/>
  <c r="Y45" i="3"/>
  <c r="Z45" i="3" s="1"/>
  <c r="Y96" i="3"/>
  <c r="Z96" i="3" s="1"/>
  <c r="Y51" i="3"/>
  <c r="Z51" i="3" s="1"/>
  <c r="AC74" i="3"/>
  <c r="AC52" i="3"/>
  <c r="AC58" i="3"/>
  <c r="Y97" i="3"/>
  <c r="Z97" i="3" s="1"/>
  <c r="Y52" i="3"/>
  <c r="Z52" i="3" s="1"/>
  <c r="Y109" i="3"/>
  <c r="Z109" i="3" s="1"/>
  <c r="Y87" i="3"/>
  <c r="Z87" i="3" s="1"/>
  <c r="Y17" i="3"/>
  <c r="Z17" i="3" s="1"/>
  <c r="AF39" i="3"/>
  <c r="AC77" i="3"/>
  <c r="AF8" i="3"/>
  <c r="V114" i="3"/>
  <c r="W114" i="3" s="1"/>
  <c r="V39" i="3"/>
  <c r="W39" i="3" s="1"/>
  <c r="V96" i="3"/>
  <c r="W96" i="3" s="1"/>
  <c r="V18" i="3"/>
  <c r="W18" i="3" s="1"/>
  <c r="V29" i="3"/>
  <c r="W29" i="3" s="1"/>
  <c r="V105" i="3"/>
  <c r="W105" i="3" s="1"/>
  <c r="V117" i="3"/>
  <c r="W117" i="3" s="1"/>
  <c r="V20" i="3"/>
  <c r="W20" i="3" s="1"/>
  <c r="V90" i="3"/>
  <c r="W90" i="3" s="1"/>
  <c r="V119" i="3"/>
  <c r="W119" i="3" s="1"/>
  <c r="V51" i="3"/>
  <c r="W51" i="3" s="1"/>
  <c r="V61" i="3"/>
  <c r="W61" i="3" s="1"/>
  <c r="V6" i="3"/>
  <c r="W6" i="3" s="1"/>
  <c r="V83" i="3"/>
  <c r="W83" i="3" s="1"/>
  <c r="V98" i="3"/>
  <c r="W98" i="3" s="1"/>
  <c r="V45" i="3"/>
  <c r="W45" i="3" s="1"/>
  <c r="V57" i="3"/>
  <c r="W57" i="3" s="1"/>
  <c r="V7" i="3"/>
  <c r="W7" i="3" s="1"/>
  <c r="AH6" i="3"/>
  <c r="AI6" i="3" s="1"/>
  <c r="AH105" i="3"/>
  <c r="AI105" i="3" s="1"/>
  <c r="AH119" i="3"/>
  <c r="AI119" i="3" s="1"/>
  <c r="Y26" i="3"/>
  <c r="Z26" i="3" s="1"/>
  <c r="Y78" i="3"/>
  <c r="Z78" i="3" s="1"/>
  <c r="Y120" i="3"/>
  <c r="Z120" i="3" s="1"/>
  <c r="AH47" i="3"/>
  <c r="AI47" i="3" s="1"/>
  <c r="AH122" i="3"/>
  <c r="AI122" i="3" s="1"/>
  <c r="AF5" i="3"/>
  <c r="AH86" i="3"/>
  <c r="AI86" i="3" s="1"/>
  <c r="AH37" i="3"/>
  <c r="AI37" i="3" s="1"/>
  <c r="AF54" i="3"/>
  <c r="Y59" i="3"/>
  <c r="Z59" i="3" s="1"/>
  <c r="AH42" i="3"/>
  <c r="AI42" i="3" s="1"/>
  <c r="AH77" i="3"/>
  <c r="AI77" i="3" s="1"/>
  <c r="AF47" i="3"/>
  <c r="AC37" i="3"/>
  <c r="AH118" i="3"/>
  <c r="AI118" i="3" s="1"/>
  <c r="AH110" i="3"/>
  <c r="AI110" i="3" s="1"/>
  <c r="AH41" i="3"/>
  <c r="AI41" i="3" s="1"/>
  <c r="V120" i="3"/>
  <c r="W120" i="3" s="1"/>
  <c r="V62" i="3"/>
  <c r="W62" i="3" s="1"/>
  <c r="V84" i="3"/>
  <c r="W84" i="3" s="1"/>
  <c r="V59" i="3"/>
  <c r="W59" i="3" s="1"/>
  <c r="V100" i="3"/>
  <c r="W100" i="3" s="1"/>
  <c r="V109" i="3"/>
  <c r="W109" i="3" s="1"/>
  <c r="V60" i="3"/>
  <c r="W60" i="3" s="1"/>
  <c r="V71" i="3"/>
  <c r="W71" i="3" s="1"/>
  <c r="V63" i="3"/>
  <c r="W63" i="3" s="1"/>
  <c r="V81" i="3"/>
  <c r="W81" i="3" s="1"/>
  <c r="V101" i="3"/>
  <c r="W101" i="3" s="1"/>
  <c r="V113" i="3"/>
  <c r="W113" i="3" s="1"/>
  <c r="AH117" i="3"/>
  <c r="AI117" i="3" s="1"/>
  <c r="AH60" i="3"/>
  <c r="AI60" i="3" s="1"/>
  <c r="AH75" i="3"/>
  <c r="AI75" i="3" s="1"/>
  <c r="AH59" i="3"/>
  <c r="AI59" i="3" s="1"/>
  <c r="AF76" i="3"/>
  <c r="AF14" i="3"/>
  <c r="AF50" i="3"/>
  <c r="Y74" i="3"/>
  <c r="Z74" i="3" s="1"/>
  <c r="Y22" i="3"/>
  <c r="Z22" i="3" s="1"/>
  <c r="Y112" i="3"/>
  <c r="Z112" i="3" s="1"/>
  <c r="AH98" i="3"/>
  <c r="AI98" i="3" s="1"/>
  <c r="Y89" i="3"/>
  <c r="Z89" i="3" s="1"/>
  <c r="Y106" i="3"/>
  <c r="Z106" i="3" s="1"/>
  <c r="Y80" i="3"/>
  <c r="Z80" i="3" s="1"/>
  <c r="Y29" i="3"/>
  <c r="Z29" i="3" s="1"/>
  <c r="AH76" i="3"/>
  <c r="AI76" i="3" s="1"/>
  <c r="Y32" i="3"/>
  <c r="Z32" i="3" s="1"/>
  <c r="Y92" i="3"/>
  <c r="Z92" i="3" s="1"/>
  <c r="AH84" i="3"/>
  <c r="AI84" i="3" s="1"/>
  <c r="AH29" i="3"/>
  <c r="AI29" i="3" s="1"/>
  <c r="Y68" i="3"/>
  <c r="Z68" i="3" s="1"/>
  <c r="Y86" i="3"/>
  <c r="Z86" i="3" s="1"/>
  <c r="Y107" i="3"/>
  <c r="Z107" i="3" s="1"/>
  <c r="AH108" i="3"/>
  <c r="AI108" i="3" s="1"/>
  <c r="AF40" i="3"/>
  <c r="AC38" i="3"/>
  <c r="AH73" i="3"/>
  <c r="AI73" i="3" s="1"/>
  <c r="AC80" i="3"/>
  <c r="Y57" i="3"/>
  <c r="Z57" i="3" s="1"/>
  <c r="Y100" i="3"/>
  <c r="Z100" i="3" s="1"/>
  <c r="Y38" i="3"/>
  <c r="Z38" i="3" s="1"/>
  <c r="Y73" i="3"/>
  <c r="Z73" i="3" s="1"/>
  <c r="Y90" i="3"/>
  <c r="Z90" i="3" s="1"/>
  <c r="Y16" i="3"/>
  <c r="Z16" i="3" s="1"/>
  <c r="Y53" i="3"/>
  <c r="Z53" i="3" s="1"/>
  <c r="Y25" i="3"/>
  <c r="Z25" i="3" s="1"/>
  <c r="Y21" i="3"/>
  <c r="Z21" i="3" s="1"/>
  <c r="AH109" i="3"/>
  <c r="AI109" i="3" s="1"/>
  <c r="AH62" i="3"/>
  <c r="AI62" i="3" s="1"/>
  <c r="Y39" i="3"/>
  <c r="Z39" i="3" s="1"/>
  <c r="Y111" i="3"/>
  <c r="Z111" i="3" s="1"/>
  <c r="Y83" i="3"/>
  <c r="Z83" i="3" s="1"/>
  <c r="AH57" i="3"/>
  <c r="AI57" i="3" s="1"/>
  <c r="AH95" i="3"/>
  <c r="AI95" i="3" s="1"/>
  <c r="V106" i="3"/>
  <c r="W106" i="3" s="1"/>
  <c r="V79" i="3"/>
  <c r="W79" i="3" s="1"/>
  <c r="V94" i="3"/>
  <c r="W94" i="3" s="1"/>
  <c r="V91" i="3"/>
  <c r="W91" i="3" s="1"/>
  <c r="V115" i="3"/>
  <c r="W115" i="3" s="1"/>
  <c r="V77" i="3"/>
  <c r="W77" i="3" s="1"/>
  <c r="V111" i="3"/>
  <c r="W111" i="3" s="1"/>
  <c r="AH120" i="3"/>
  <c r="AI120" i="3" s="1"/>
  <c r="AH111" i="3"/>
  <c r="AI111" i="3" s="1"/>
  <c r="Y108" i="3"/>
  <c r="Z108" i="3" s="1"/>
  <c r="Y15" i="3"/>
  <c r="Z15" i="3" s="1"/>
  <c r="Y43" i="3"/>
  <c r="Z43" i="3" s="1"/>
  <c r="Y98" i="3"/>
  <c r="Z98" i="3" s="1"/>
  <c r="AH89" i="3"/>
  <c r="AI89" i="3" s="1"/>
  <c r="Y20" i="3"/>
  <c r="Z20" i="3" s="1"/>
  <c r="Y93" i="3"/>
  <c r="Z93" i="3" s="1"/>
  <c r="Y117" i="3"/>
  <c r="Z117" i="3" s="1"/>
  <c r="AH54" i="3"/>
  <c r="AI54" i="3" s="1"/>
  <c r="Y63" i="3"/>
  <c r="Z63" i="3" s="1"/>
  <c r="Y88" i="3"/>
  <c r="Z88" i="3" s="1"/>
  <c r="Y60" i="3"/>
  <c r="Z60" i="3" s="1"/>
  <c r="Y41" i="3"/>
  <c r="Z41" i="3" s="1"/>
  <c r="AH61" i="3"/>
  <c r="AI61" i="3" s="1"/>
  <c r="Y114" i="3"/>
  <c r="Z114" i="3" s="1"/>
  <c r="Y110" i="3"/>
  <c r="Z110" i="3" s="1"/>
  <c r="Y95" i="3"/>
  <c r="Z95" i="3" s="1"/>
  <c r="Y31" i="3"/>
  <c r="Z31" i="3" s="1"/>
  <c r="AH88" i="3"/>
  <c r="AI88" i="3" s="1"/>
  <c r="AC30" i="3"/>
  <c r="AH74" i="3"/>
  <c r="AI74" i="3" s="1"/>
  <c r="AH49" i="3"/>
  <c r="AI49" i="3" s="1"/>
  <c r="AH48" i="3"/>
  <c r="AI48" i="3" s="1"/>
  <c r="AH45" i="3"/>
  <c r="AI45" i="3" s="1"/>
  <c r="AH8" i="3"/>
  <c r="AI8" i="3" s="1"/>
  <c r="AH5" i="3"/>
  <c r="AI5" i="3" s="1"/>
  <c r="AI12" i="3"/>
  <c r="Y118" i="3"/>
  <c r="Z118" i="3" s="1"/>
  <c r="Y58" i="3"/>
  <c r="Z58" i="3" s="1"/>
  <c r="Y69" i="3"/>
  <c r="Z69" i="3" s="1"/>
  <c r="Y61" i="3"/>
  <c r="Z61" i="3" s="1"/>
  <c r="Y18" i="3"/>
  <c r="Z18" i="3" s="1"/>
  <c r="Y70" i="3"/>
  <c r="Z70" i="3" s="1"/>
  <c r="Y102" i="3"/>
  <c r="Z102" i="3" s="1"/>
  <c r="AH50" i="3"/>
  <c r="AI50" i="3" s="1"/>
  <c r="Y54" i="3"/>
  <c r="Z54" i="3" s="1"/>
  <c r="Y71" i="3"/>
  <c r="Z71" i="3" s="1"/>
  <c r="Y116" i="3"/>
  <c r="Z116" i="3" s="1"/>
  <c r="Y35" i="3"/>
  <c r="Z35" i="3" s="1"/>
  <c r="Y91" i="3"/>
  <c r="Z91" i="3" s="1"/>
  <c r="Y24" i="3"/>
  <c r="Z24" i="3" s="1"/>
  <c r="Y47" i="3"/>
  <c r="Z47" i="3" s="1"/>
  <c r="AH40" i="3"/>
  <c r="AI40" i="3" s="1"/>
  <c r="AH115" i="3"/>
  <c r="AI115" i="3" s="1"/>
  <c r="AH56" i="3"/>
  <c r="AI56" i="3" s="1"/>
  <c r="Y36" i="3"/>
  <c r="Z36" i="3" s="1"/>
  <c r="Y40" i="3"/>
  <c r="Z40" i="3" s="1"/>
  <c r="Y42" i="3"/>
  <c r="Z42" i="3" s="1"/>
  <c r="Y119" i="3"/>
  <c r="Z119" i="3" s="1"/>
  <c r="Y113" i="3"/>
  <c r="Z113" i="3" s="1"/>
  <c r="Y103" i="3"/>
  <c r="Z103" i="3" s="1"/>
  <c r="Y14" i="3"/>
  <c r="Z14" i="3" s="1"/>
  <c r="AH107" i="3"/>
  <c r="AI107" i="3" s="1"/>
  <c r="AH33" i="3"/>
  <c r="AI33" i="3" s="1"/>
  <c r="Y104" i="3"/>
  <c r="Z104" i="3" s="1"/>
  <c r="Y77" i="3"/>
  <c r="Z77" i="3" s="1"/>
  <c r="Y49" i="3"/>
  <c r="Z49" i="3" s="1"/>
  <c r="Y23" i="3"/>
  <c r="Z23" i="3" s="1"/>
  <c r="Y33" i="3"/>
  <c r="Z33" i="3" s="1"/>
  <c r="Y67" i="3"/>
  <c r="Z67" i="3" s="1"/>
  <c r="Y122" i="3"/>
  <c r="Z122" i="3" s="1"/>
  <c r="AH83" i="3"/>
  <c r="AI83" i="3" s="1"/>
  <c r="AH36" i="3"/>
  <c r="AI36" i="3" s="1"/>
  <c r="AF12" i="3"/>
  <c r="AH46" i="3"/>
  <c r="AI46" i="3" s="1"/>
  <c r="AH80" i="3"/>
  <c r="AI80" i="3" s="1"/>
  <c r="AH104" i="3"/>
  <c r="AI104" i="3" s="1"/>
  <c r="AH63" i="3"/>
  <c r="AI63" i="3" s="1"/>
  <c r="AH44" i="3"/>
  <c r="AI44" i="3" s="1"/>
  <c r="W4" i="3"/>
  <c r="V74" i="3"/>
  <c r="W74" i="3" s="1"/>
  <c r="V35" i="3"/>
  <c r="W35" i="3" s="1"/>
  <c r="V43" i="3"/>
  <c r="W43" i="3" s="1"/>
  <c r="V68" i="3"/>
  <c r="W68" i="3" s="1"/>
  <c r="V41" i="3"/>
  <c r="W41" i="3" s="1"/>
  <c r="V102" i="3"/>
  <c r="W102" i="3" s="1"/>
  <c r="V10" i="3"/>
  <c r="W10" i="3" s="1"/>
  <c r="AJ10" i="3" s="1"/>
  <c r="V76" i="3"/>
  <c r="W76" i="3" s="1"/>
  <c r="V69" i="3"/>
  <c r="W69" i="3" s="1"/>
  <c r="V112" i="3"/>
  <c r="W112" i="3" s="1"/>
  <c r="V32" i="3"/>
  <c r="W32" i="3" s="1"/>
  <c r="V70" i="3"/>
  <c r="W70" i="3" s="1"/>
  <c r="V27" i="3"/>
  <c r="W27" i="3" s="1"/>
  <c r="V85" i="3"/>
  <c r="W85" i="3" s="1"/>
  <c r="V14" i="3"/>
  <c r="W14" i="3" s="1"/>
  <c r="V97" i="3"/>
  <c r="W97" i="3" s="1"/>
  <c r="V58" i="3"/>
  <c r="W58" i="3" s="1"/>
  <c r="V89" i="3"/>
  <c r="W89" i="3" s="1"/>
  <c r="V110" i="3"/>
  <c r="W110" i="3" s="1"/>
  <c r="V48" i="3"/>
  <c r="W48" i="3" s="1"/>
  <c r="V82" i="3"/>
  <c r="W82" i="3" s="1"/>
  <c r="V9" i="3"/>
  <c r="W9" i="3" s="1"/>
  <c r="V92" i="3"/>
  <c r="W92" i="3" s="1"/>
  <c r="V54" i="3"/>
  <c r="W54" i="3" s="1"/>
  <c r="V78" i="3"/>
  <c r="W78" i="3" s="1"/>
  <c r="V107" i="3"/>
  <c r="W107" i="3" s="1"/>
  <c r="V67" i="3"/>
  <c r="W67" i="3" s="1"/>
  <c r="V108" i="3"/>
  <c r="W108" i="3" s="1"/>
  <c r="V12" i="3"/>
  <c r="W12" i="3" s="1"/>
  <c r="AF4" i="3"/>
  <c r="AH90" i="3"/>
  <c r="AI90" i="3" s="1"/>
  <c r="AH31" i="3"/>
  <c r="AI31" i="3" s="1"/>
  <c r="AH91" i="3"/>
  <c r="AI91" i="3" s="1"/>
  <c r="AH34" i="3"/>
  <c r="AI34" i="3" s="1"/>
  <c r="AH87" i="3"/>
  <c r="AI87" i="3" s="1"/>
  <c r="AH52" i="3"/>
  <c r="AI52" i="3" s="1"/>
  <c r="AH96" i="3"/>
  <c r="AI96" i="3" s="1"/>
  <c r="Y84" i="3"/>
  <c r="Z84" i="3" s="1"/>
  <c r="Y65" i="3"/>
  <c r="Z65" i="3" s="1"/>
  <c r="Y76" i="3"/>
  <c r="Z76" i="3" s="1"/>
  <c r="Y105" i="3"/>
  <c r="Z105" i="3" s="1"/>
  <c r="Y28" i="3"/>
  <c r="Z28" i="3" s="1"/>
  <c r="AH53" i="3"/>
  <c r="AI53" i="3" s="1"/>
  <c r="Y48" i="3"/>
  <c r="Z48" i="3" s="1"/>
  <c r="AH39" i="3"/>
  <c r="AI39" i="3" s="1"/>
  <c r="AH121" i="3"/>
  <c r="AI121" i="3" s="1"/>
  <c r="Y79" i="3"/>
  <c r="Z79" i="3" s="1"/>
  <c r="Y37" i="3"/>
  <c r="Z37" i="3" s="1"/>
  <c r="Y82" i="3"/>
  <c r="Z82" i="3" s="1"/>
  <c r="Y44" i="3"/>
  <c r="Z44" i="3" s="1"/>
  <c r="Y115" i="3"/>
  <c r="Z115" i="3" s="1"/>
  <c r="Y99" i="3"/>
  <c r="Z99" i="3" s="1"/>
  <c r="Y101" i="3"/>
  <c r="Z101" i="3" s="1"/>
  <c r="AH103" i="3"/>
  <c r="AI103" i="3" s="1"/>
  <c r="AH93" i="3"/>
  <c r="AI93" i="3" s="1"/>
  <c r="AH14" i="3"/>
  <c r="AI14" i="3" s="1"/>
  <c r="Y50" i="3"/>
  <c r="Z50" i="3" s="1"/>
  <c r="Y55" i="3"/>
  <c r="Z55" i="3" s="1"/>
  <c r="Y85" i="3"/>
  <c r="Z85" i="3" s="1"/>
  <c r="Y62" i="3"/>
  <c r="Z62" i="3" s="1"/>
  <c r="Y19" i="3"/>
  <c r="Z19" i="3" s="1"/>
  <c r="Y75" i="3"/>
  <c r="Z75" i="3" s="1"/>
  <c r="Y27" i="3"/>
  <c r="Z27" i="3" s="1"/>
  <c r="AH78" i="3"/>
  <c r="AI78" i="3" s="1"/>
  <c r="AH82" i="3"/>
  <c r="AI82" i="3" s="1"/>
  <c r="Y81" i="3"/>
  <c r="Z81" i="3" s="1"/>
  <c r="Y30" i="3"/>
  <c r="Z30" i="3" s="1"/>
  <c r="Y64" i="3"/>
  <c r="Z64" i="3" s="1"/>
  <c r="Y34" i="3"/>
  <c r="Z34" i="3" s="1"/>
  <c r="Y72" i="3"/>
  <c r="Z72" i="3" s="1"/>
  <c r="Y56" i="3"/>
  <c r="Z56" i="3" s="1"/>
  <c r="Y66" i="3"/>
  <c r="Z66" i="3" s="1"/>
  <c r="AH112" i="3"/>
  <c r="AI112" i="3" s="1"/>
  <c r="AH113" i="3"/>
  <c r="AI113" i="3" s="1"/>
  <c r="AJ3" i="3"/>
  <c r="AJ128" i="3" l="1"/>
  <c r="AJ125" i="3"/>
  <c r="AJ127" i="3"/>
  <c r="AJ123" i="3"/>
  <c r="AJ126" i="3"/>
  <c r="AJ124" i="3"/>
  <c r="J27" i="7"/>
  <c r="I17" i="8"/>
  <c r="AJ19" i="3"/>
  <c r="AL19" i="3" s="1"/>
  <c r="AN19" i="3" s="1"/>
  <c r="AP19" i="3" s="1"/>
  <c r="AV19" i="3" s="1"/>
  <c r="AJ22" i="3"/>
  <c r="AK22" i="3" s="1"/>
  <c r="AJ97" i="3"/>
  <c r="AK97" i="3" s="1"/>
  <c r="AJ116" i="3"/>
  <c r="AK116" i="3" s="1"/>
  <c r="AJ15" i="3"/>
  <c r="AK15" i="3" s="1"/>
  <c r="AJ68" i="3"/>
  <c r="AL68" i="3" s="1"/>
  <c r="AN68" i="3" s="1"/>
  <c r="AP68" i="3" s="1"/>
  <c r="AV68" i="3" s="1"/>
  <c r="AJ104" i="3"/>
  <c r="AL104" i="3" s="1"/>
  <c r="AJ23" i="3"/>
  <c r="AK23" i="3" s="1"/>
  <c r="AJ20" i="3"/>
  <c r="AL20" i="3" s="1"/>
  <c r="AN20" i="3" s="1"/>
  <c r="AP20" i="3" s="1"/>
  <c r="AV20" i="3" s="1"/>
  <c r="AJ56" i="3"/>
  <c r="AK56" i="3" s="1"/>
  <c r="AJ65" i="3"/>
  <c r="AK65" i="3" s="1"/>
  <c r="AJ24" i="3"/>
  <c r="AK24" i="3" s="1"/>
  <c r="AJ28" i="3"/>
  <c r="AL28" i="3" s="1"/>
  <c r="AN28" i="3" s="1"/>
  <c r="AP28" i="3" s="1"/>
  <c r="AV28" i="3" s="1"/>
  <c r="AJ18" i="3"/>
  <c r="AL18" i="3" s="1"/>
  <c r="AN18" i="3" s="1"/>
  <c r="AP18" i="3" s="1"/>
  <c r="AV18" i="3" s="1"/>
  <c r="AJ42" i="3"/>
  <c r="AK42" i="3" s="1"/>
  <c r="AJ118" i="3"/>
  <c r="AL118" i="3" s="1"/>
  <c r="AJ12" i="3"/>
  <c r="AK12" i="3" s="1"/>
  <c r="AJ89" i="3"/>
  <c r="AL89" i="3" s="1"/>
  <c r="AN89" i="3" s="1"/>
  <c r="AP89" i="3" s="1"/>
  <c r="AJ63" i="3"/>
  <c r="AK63" i="3" s="1"/>
  <c r="AJ64" i="3"/>
  <c r="AK64" i="3" s="1"/>
  <c r="AJ66" i="3"/>
  <c r="AK66" i="3" s="1"/>
  <c r="AJ33" i="3"/>
  <c r="AL33" i="3" s="1"/>
  <c r="AN33" i="3" s="1"/>
  <c r="AP33" i="3" s="1"/>
  <c r="AV33" i="3" s="1"/>
  <c r="AJ93" i="3"/>
  <c r="AL93" i="3" s="1"/>
  <c r="AN93" i="3" s="1"/>
  <c r="AP93" i="3" s="1"/>
  <c r="AJ43" i="3"/>
  <c r="AL43" i="3" s="1"/>
  <c r="AN43" i="3" s="1"/>
  <c r="AP43" i="3" s="1"/>
  <c r="AV43" i="3" s="1"/>
  <c r="AJ86" i="3"/>
  <c r="AK86" i="3" s="1"/>
  <c r="AJ60" i="3"/>
  <c r="AK60" i="3" s="1"/>
  <c r="AJ98" i="3"/>
  <c r="AL98" i="3" s="1"/>
  <c r="AN98" i="3" s="1"/>
  <c r="AP98" i="3" s="1"/>
  <c r="AJ51" i="3"/>
  <c r="AK51" i="3" s="1"/>
  <c r="AJ26" i="3"/>
  <c r="AK26" i="3" s="1"/>
  <c r="AJ17" i="3"/>
  <c r="AL17" i="3" s="1"/>
  <c r="AN17" i="3" s="1"/>
  <c r="AP17" i="3" s="1"/>
  <c r="AV17" i="3" s="1"/>
  <c r="AJ31" i="3"/>
  <c r="AL31" i="3" s="1"/>
  <c r="AJ48" i="3"/>
  <c r="AK48" i="3" s="1"/>
  <c r="AJ25" i="3"/>
  <c r="AK25" i="3" s="1"/>
  <c r="AJ7" i="3"/>
  <c r="AK7" i="3" s="1"/>
  <c r="AJ21" i="3"/>
  <c r="AL21" i="3" s="1"/>
  <c r="AN21" i="3" s="1"/>
  <c r="AP21" i="3" s="1"/>
  <c r="AV21" i="3" s="1"/>
  <c r="AK11" i="3"/>
  <c r="AJ101" i="3"/>
  <c r="AK101" i="3" s="1"/>
  <c r="AJ38" i="3"/>
  <c r="AL38" i="3" s="1"/>
  <c r="AN38" i="3" s="1"/>
  <c r="AP38" i="3" s="1"/>
  <c r="AJ83" i="3"/>
  <c r="AK83" i="3" s="1"/>
  <c r="AJ72" i="3"/>
  <c r="AL72" i="3" s="1"/>
  <c r="AN72" i="3" s="1"/>
  <c r="AP72" i="3" s="1"/>
  <c r="AV72" i="3" s="1"/>
  <c r="AJ75" i="3"/>
  <c r="AK75" i="3" s="1"/>
  <c r="AJ55" i="3"/>
  <c r="AL55" i="3" s="1"/>
  <c r="AN55" i="3" s="1"/>
  <c r="AP55" i="3" s="1"/>
  <c r="AJ121" i="3"/>
  <c r="AK121" i="3" s="1"/>
  <c r="AJ84" i="3"/>
  <c r="AL84" i="3" s="1"/>
  <c r="AN84" i="3" s="1"/>
  <c r="AP84" i="3" s="1"/>
  <c r="AJ4" i="3"/>
  <c r="AL4" i="3" s="1"/>
  <c r="AJ9" i="3"/>
  <c r="AL9" i="3" s="1"/>
  <c r="AN9" i="3" s="1"/>
  <c r="AP9" i="3" s="1"/>
  <c r="AJ102" i="3"/>
  <c r="AK102" i="3" s="1"/>
  <c r="AJ35" i="3"/>
  <c r="AL35" i="3" s="1"/>
  <c r="AJ77" i="3"/>
  <c r="AK77" i="3" s="1"/>
  <c r="AJ45" i="3"/>
  <c r="AL45" i="3" s="1"/>
  <c r="AN45" i="3" s="1"/>
  <c r="AP45" i="3" s="1"/>
  <c r="AJ29" i="3"/>
  <c r="AL29" i="3" s="1"/>
  <c r="AJ53" i="3"/>
  <c r="AK53" i="3" s="1"/>
  <c r="AJ122" i="3"/>
  <c r="AL122" i="3" s="1"/>
  <c r="AN122" i="3" s="1"/>
  <c r="AP122" i="3" s="1"/>
  <c r="AJ8" i="3"/>
  <c r="AL8" i="3" s="1"/>
  <c r="AJ94" i="3"/>
  <c r="AJ95" i="3"/>
  <c r="AK95" i="3" s="1"/>
  <c r="AJ39" i="3"/>
  <c r="AL39" i="3" s="1"/>
  <c r="AN39" i="3" s="1"/>
  <c r="AP39" i="3" s="1"/>
  <c r="AJ57" i="3"/>
  <c r="AK57" i="3" s="1"/>
  <c r="AJ117" i="3"/>
  <c r="AL117" i="3" s="1"/>
  <c r="AN117" i="3" s="1"/>
  <c r="AP117" i="3" s="1"/>
  <c r="AJ13" i="3"/>
  <c r="AL13" i="3" s="1"/>
  <c r="AJ5" i="3"/>
  <c r="AK5" i="3" s="1"/>
  <c r="AJ40" i="3"/>
  <c r="AL40" i="3" s="1"/>
  <c r="AN40" i="3" s="1"/>
  <c r="AP40" i="3" s="1"/>
  <c r="AJ73" i="3"/>
  <c r="AK73" i="3" s="1"/>
  <c r="AJ114" i="3"/>
  <c r="AK114" i="3" s="1"/>
  <c r="AJ105" i="3"/>
  <c r="AK105" i="3" s="1"/>
  <c r="AJ99" i="3"/>
  <c r="AK99" i="3" s="1"/>
  <c r="AJ37" i="3"/>
  <c r="AK37" i="3" s="1"/>
  <c r="AJ52" i="3"/>
  <c r="AK52" i="3" s="1"/>
  <c r="AJ80" i="3"/>
  <c r="AK80" i="3" s="1"/>
  <c r="AJ16" i="3"/>
  <c r="AL16" i="3" s="1"/>
  <c r="AN16" i="3" s="1"/>
  <c r="AP16" i="3" s="1"/>
  <c r="AV16" i="3" s="1"/>
  <c r="AJ6" i="3"/>
  <c r="AJ30" i="3"/>
  <c r="AK30" i="3" s="1"/>
  <c r="AJ115" i="3"/>
  <c r="AK115" i="3" s="1"/>
  <c r="AJ79" i="3"/>
  <c r="AL79" i="3" s="1"/>
  <c r="AN79" i="3" s="1"/>
  <c r="AP79" i="3" s="1"/>
  <c r="AJ87" i="3"/>
  <c r="AL87" i="3" s="1"/>
  <c r="AN87" i="3" s="1"/>
  <c r="AP87" i="3" s="1"/>
  <c r="AJ90" i="3"/>
  <c r="AK90" i="3" s="1"/>
  <c r="AJ67" i="3"/>
  <c r="AJ92" i="3"/>
  <c r="AL92" i="3" s="1"/>
  <c r="AJ110" i="3"/>
  <c r="AK110" i="3" s="1"/>
  <c r="AJ32" i="3"/>
  <c r="AJ46" i="3"/>
  <c r="AK46" i="3" s="1"/>
  <c r="AJ49" i="3"/>
  <c r="AK49" i="3" s="1"/>
  <c r="AJ119" i="3"/>
  <c r="AK119" i="3" s="1"/>
  <c r="AJ71" i="3"/>
  <c r="AK71" i="3" s="1"/>
  <c r="AJ54" i="3"/>
  <c r="AK54" i="3" s="1"/>
  <c r="AJ109" i="3"/>
  <c r="AL109" i="3" s="1"/>
  <c r="AN109" i="3" s="1"/>
  <c r="AP109" i="3" s="1"/>
  <c r="AJ47" i="3"/>
  <c r="AL47" i="3" s="1"/>
  <c r="AJ50" i="3"/>
  <c r="AL50" i="3" s="1"/>
  <c r="AN50" i="3" s="1"/>
  <c r="AP50" i="3" s="1"/>
  <c r="AJ82" i="3"/>
  <c r="AK82" i="3" s="1"/>
  <c r="AJ96" i="3"/>
  <c r="AK96" i="3" s="1"/>
  <c r="AJ69" i="3"/>
  <c r="AJ88" i="3"/>
  <c r="AK88" i="3" s="1"/>
  <c r="AJ111" i="3"/>
  <c r="AK111" i="3" s="1"/>
  <c r="AJ100" i="3"/>
  <c r="AK100" i="3" s="1"/>
  <c r="AJ44" i="3"/>
  <c r="AK44" i="3" s="1"/>
  <c r="AJ58" i="3"/>
  <c r="AJ41" i="3"/>
  <c r="AK41" i="3" s="1"/>
  <c r="AJ74" i="3"/>
  <c r="AJ61" i="3"/>
  <c r="AK61" i="3" s="1"/>
  <c r="AJ59" i="3"/>
  <c r="AJ120" i="3"/>
  <c r="AJ81" i="3"/>
  <c r="AK81" i="3" s="1"/>
  <c r="AJ107" i="3"/>
  <c r="AJ62" i="3"/>
  <c r="AL62" i="3" s="1"/>
  <c r="AN62" i="3" s="1"/>
  <c r="AP62" i="3" s="1"/>
  <c r="AJ108" i="3"/>
  <c r="AJ70" i="3"/>
  <c r="AJ106" i="3"/>
  <c r="AJ113" i="3"/>
  <c r="AK113" i="3" s="1"/>
  <c r="AJ36" i="3"/>
  <c r="AK36" i="3" s="1"/>
  <c r="AJ34" i="3"/>
  <c r="AL34" i="3" s="1"/>
  <c r="AJ85" i="3"/>
  <c r="AL85" i="3" s="1"/>
  <c r="AN85" i="3" s="1"/>
  <c r="AP85" i="3" s="1"/>
  <c r="AJ112" i="3"/>
  <c r="AL112" i="3" s="1"/>
  <c r="AN112" i="3" s="1"/>
  <c r="AP112" i="3" s="1"/>
  <c r="AJ91" i="3"/>
  <c r="AK91" i="3" s="1"/>
  <c r="AJ103" i="3"/>
  <c r="AK103" i="3" s="1"/>
  <c r="AK10" i="3"/>
  <c r="AL10" i="3"/>
  <c r="AP10" i="3" s="1"/>
  <c r="AV10" i="3" s="1"/>
  <c r="AJ78" i="3"/>
  <c r="AJ27" i="3"/>
  <c r="AJ76" i="3"/>
  <c r="AJ14" i="3"/>
  <c r="AK3" i="3"/>
  <c r="AN11" i="3"/>
  <c r="AP11" i="3" s="1"/>
  <c r="AV11" i="3" s="1"/>
  <c r="AL3" i="3"/>
  <c r="AK104" i="3" l="1"/>
  <c r="AL123" i="3"/>
  <c r="AK123" i="3"/>
  <c r="AL127" i="3"/>
  <c r="AK127" i="3"/>
  <c r="AL124" i="3"/>
  <c r="AP124" i="3" s="1"/>
  <c r="AK124" i="3"/>
  <c r="AL125" i="3"/>
  <c r="AK125" i="3"/>
  <c r="AL126" i="3"/>
  <c r="AK126" i="3"/>
  <c r="AL128" i="3"/>
  <c r="AK128" i="3"/>
  <c r="AN118" i="3"/>
  <c r="AP118" i="3" s="1"/>
  <c r="AN92" i="3"/>
  <c r="AP92" i="3" s="1"/>
  <c r="AN104" i="3"/>
  <c r="AP104" i="3" s="1"/>
  <c r="AL15" i="3"/>
  <c r="AN15" i="3" s="1"/>
  <c r="AP15" i="3" s="1"/>
  <c r="AV15" i="3" s="1"/>
  <c r="AK19" i="3"/>
  <c r="AL22" i="3"/>
  <c r="AN22" i="3" s="1"/>
  <c r="AP22" i="3" s="1"/>
  <c r="AV22" i="3" s="1"/>
  <c r="AL116" i="3"/>
  <c r="AN116" i="3" s="1"/>
  <c r="AP116" i="3" s="1"/>
  <c r="AV116" i="3" s="1"/>
  <c r="AL97" i="3"/>
  <c r="AN97" i="3" s="1"/>
  <c r="AP97" i="3" s="1"/>
  <c r="AU97" i="3" s="1"/>
  <c r="AK18" i="3"/>
  <c r="AL56" i="3"/>
  <c r="AN56" i="3" s="1"/>
  <c r="AP56" i="3" s="1"/>
  <c r="AU56" i="3" s="1"/>
  <c r="AL65" i="3"/>
  <c r="AN65" i="3" s="1"/>
  <c r="AP65" i="3" s="1"/>
  <c r="AV65" i="3" s="1"/>
  <c r="AL12" i="3"/>
  <c r="AN12" i="3" s="1"/>
  <c r="AP12" i="3" s="1"/>
  <c r="AV12" i="3" s="1"/>
  <c r="AK68" i="3"/>
  <c r="AK28" i="3"/>
  <c r="AL23" i="3"/>
  <c r="AN23" i="3" s="1"/>
  <c r="AP23" i="3" s="1"/>
  <c r="AV23" i="3" s="1"/>
  <c r="AL96" i="3"/>
  <c r="AN96" i="3" s="1"/>
  <c r="AP96" i="3" s="1"/>
  <c r="AT96" i="3" s="1"/>
  <c r="AK20" i="3"/>
  <c r="AL24" i="3"/>
  <c r="AN24" i="3" s="1"/>
  <c r="AP24" i="3" s="1"/>
  <c r="AV24" i="3" s="1"/>
  <c r="AL42" i="3"/>
  <c r="AN42" i="3" s="1"/>
  <c r="AP42" i="3" s="1"/>
  <c r="AT42" i="3" s="1"/>
  <c r="AL121" i="3"/>
  <c r="AN121" i="3" s="1"/>
  <c r="AP121" i="3" s="1"/>
  <c r="AU121" i="3" s="1"/>
  <c r="AK4" i="3"/>
  <c r="AL105" i="3"/>
  <c r="AN105" i="3" s="1"/>
  <c r="AP105" i="3" s="1"/>
  <c r="AU105" i="3" s="1"/>
  <c r="AL54" i="3"/>
  <c r="AN54" i="3" s="1"/>
  <c r="AP54" i="3" s="1"/>
  <c r="AL82" i="3"/>
  <c r="AN82" i="3" s="1"/>
  <c r="AL111" i="3"/>
  <c r="AN111" i="3" s="1"/>
  <c r="AL25" i="3"/>
  <c r="AN25" i="3" s="1"/>
  <c r="AP25" i="3" s="1"/>
  <c r="AV25" i="3" s="1"/>
  <c r="AL83" i="3"/>
  <c r="AN83" i="3" s="1"/>
  <c r="AP83" i="3" s="1"/>
  <c r="AU83" i="3" s="1"/>
  <c r="AL48" i="3"/>
  <c r="AN48" i="3" s="1"/>
  <c r="AP48" i="3" s="1"/>
  <c r="AK29" i="3"/>
  <c r="AL66" i="3"/>
  <c r="AN66" i="3" s="1"/>
  <c r="AP66" i="3" s="1"/>
  <c r="AV66" i="3" s="1"/>
  <c r="AL102" i="3"/>
  <c r="AN102" i="3" s="1"/>
  <c r="AP102" i="3" s="1"/>
  <c r="AV102" i="3" s="1"/>
  <c r="AK118" i="3"/>
  <c r="AL99" i="3"/>
  <c r="AN99" i="3" s="1"/>
  <c r="AP99" i="3" s="1"/>
  <c r="AV99" i="3" s="1"/>
  <c r="AL46" i="3"/>
  <c r="AN46" i="3" s="1"/>
  <c r="AP46" i="3" s="1"/>
  <c r="AT46" i="3" s="1"/>
  <c r="AL86" i="3"/>
  <c r="AL63" i="3"/>
  <c r="AL101" i="3"/>
  <c r="AN101" i="3" s="1"/>
  <c r="AP101" i="3" s="1"/>
  <c r="AV101" i="3" s="1"/>
  <c r="AL5" i="3"/>
  <c r="AN5" i="3" s="1"/>
  <c r="AK89" i="3"/>
  <c r="AL75" i="3"/>
  <c r="AN75" i="3" s="1"/>
  <c r="AP75" i="3" s="1"/>
  <c r="AU75" i="3" s="1"/>
  <c r="AL52" i="3"/>
  <c r="AN52" i="3" s="1"/>
  <c r="AP52" i="3" s="1"/>
  <c r="AT52" i="3" s="1"/>
  <c r="AK39" i="3"/>
  <c r="AK93" i="3"/>
  <c r="AL77" i="3"/>
  <c r="AN77" i="3" s="1"/>
  <c r="AP77" i="3" s="1"/>
  <c r="AU77" i="3" s="1"/>
  <c r="AK40" i="3"/>
  <c r="AK34" i="3"/>
  <c r="AL103" i="3"/>
  <c r="AN103" i="3" s="1"/>
  <c r="AP103" i="3" s="1"/>
  <c r="AV103" i="3" s="1"/>
  <c r="AL90" i="3"/>
  <c r="AN90" i="3" s="1"/>
  <c r="AP90" i="3" s="1"/>
  <c r="AV90" i="3" s="1"/>
  <c r="AL64" i="3"/>
  <c r="AN64" i="3" s="1"/>
  <c r="AP64" i="3" s="1"/>
  <c r="AV64" i="3" s="1"/>
  <c r="AL80" i="3"/>
  <c r="AK43" i="3"/>
  <c r="AK92" i="3"/>
  <c r="AK79" i="3"/>
  <c r="AK31" i="3"/>
  <c r="AK122" i="3"/>
  <c r="AK21" i="3"/>
  <c r="AK98" i="3"/>
  <c r="AT10" i="3"/>
  <c r="AQ10" i="3"/>
  <c r="AK8" i="3"/>
  <c r="AK47" i="3"/>
  <c r="AL41" i="3"/>
  <c r="AK33" i="3"/>
  <c r="AK84" i="3"/>
  <c r="AK16" i="3"/>
  <c r="AL30" i="3"/>
  <c r="AL71" i="3"/>
  <c r="AN71" i="3" s="1"/>
  <c r="AP71" i="3" s="1"/>
  <c r="AV71" i="3" s="1"/>
  <c r="AL26" i="3"/>
  <c r="AN26" i="3" s="1"/>
  <c r="AP26" i="3" s="1"/>
  <c r="AV26" i="3" s="1"/>
  <c r="AK117" i="3"/>
  <c r="AL57" i="3"/>
  <c r="AL36" i="3"/>
  <c r="AN36" i="3" s="1"/>
  <c r="AP36" i="3" s="1"/>
  <c r="AT36" i="3" s="1"/>
  <c r="AK35" i="3"/>
  <c r="AK72" i="3"/>
  <c r="AK17" i="3"/>
  <c r="AL7" i="3"/>
  <c r="AN7" i="3" s="1"/>
  <c r="AP7" i="3" s="1"/>
  <c r="AV7" i="3" s="1"/>
  <c r="AL60" i="3"/>
  <c r="AN60" i="3" s="1"/>
  <c r="AP60" i="3" s="1"/>
  <c r="AV60" i="3" s="1"/>
  <c r="AK45" i="3"/>
  <c r="AL51" i="3"/>
  <c r="AK85" i="3"/>
  <c r="AK62" i="3"/>
  <c r="AK50" i="3"/>
  <c r="AL88" i="3"/>
  <c r="AN88" i="3" s="1"/>
  <c r="AP88" i="3" s="1"/>
  <c r="AU88" i="3" s="1"/>
  <c r="AK9" i="3"/>
  <c r="AK55" i="3"/>
  <c r="AK87" i="3"/>
  <c r="AK38" i="3"/>
  <c r="AL49" i="3"/>
  <c r="AN49" i="3" s="1"/>
  <c r="AP49" i="3" s="1"/>
  <c r="AL53" i="3"/>
  <c r="AN53" i="3" s="1"/>
  <c r="AP53" i="3" s="1"/>
  <c r="AT53" i="3" s="1"/>
  <c r="AL37" i="3"/>
  <c r="AL100" i="3"/>
  <c r="AN100" i="3" s="1"/>
  <c r="AP100" i="3" s="1"/>
  <c r="AV100" i="3" s="1"/>
  <c r="AL114" i="3"/>
  <c r="AL95" i="3"/>
  <c r="AK94" i="3"/>
  <c r="AL94" i="3"/>
  <c r="AN94" i="3" s="1"/>
  <c r="AP94" i="3" s="1"/>
  <c r="AV94" i="3" s="1"/>
  <c r="AK13" i="3"/>
  <c r="AL61" i="3"/>
  <c r="AN61" i="3" s="1"/>
  <c r="AP61" i="3" s="1"/>
  <c r="AV61" i="3" s="1"/>
  <c r="AL44" i="3"/>
  <c r="AK112" i="3"/>
  <c r="AL115" i="3"/>
  <c r="AN115" i="3" s="1"/>
  <c r="AP115" i="3" s="1"/>
  <c r="AU115" i="3" s="1"/>
  <c r="AL81" i="3"/>
  <c r="AN81" i="3" s="1"/>
  <c r="AP81" i="3" s="1"/>
  <c r="AV81" i="3" s="1"/>
  <c r="AL73" i="3"/>
  <c r="AL119" i="3"/>
  <c r="AN119" i="3" s="1"/>
  <c r="AP119" i="3" s="1"/>
  <c r="AV119" i="3" s="1"/>
  <c r="AL110" i="3"/>
  <c r="AP110" i="3" s="1"/>
  <c r="AL113" i="3"/>
  <c r="AN113" i="3" s="1"/>
  <c r="AP113" i="3" s="1"/>
  <c r="AU113" i="3" s="1"/>
  <c r="AK109" i="3"/>
  <c r="AK67" i="3"/>
  <c r="AL67" i="3"/>
  <c r="AN67" i="3" s="1"/>
  <c r="AP67" i="3" s="1"/>
  <c r="AV67" i="3" s="1"/>
  <c r="AU10" i="3"/>
  <c r="AK32" i="3"/>
  <c r="AL32" i="3"/>
  <c r="AN32" i="3" s="1"/>
  <c r="AP32" i="3" s="1"/>
  <c r="AV32" i="3" s="1"/>
  <c r="AL91" i="3"/>
  <c r="AN91" i="3" s="1"/>
  <c r="AP91" i="3" s="1"/>
  <c r="AU91" i="3" s="1"/>
  <c r="AL69" i="3"/>
  <c r="AN69" i="3" s="1"/>
  <c r="AP69" i="3" s="1"/>
  <c r="AV69" i="3" s="1"/>
  <c r="AK69" i="3"/>
  <c r="AL6" i="3"/>
  <c r="AN6" i="3" s="1"/>
  <c r="AP6" i="3" s="1"/>
  <c r="AV6" i="3" s="1"/>
  <c r="AK6" i="3"/>
  <c r="AL70" i="3"/>
  <c r="AN70" i="3" s="1"/>
  <c r="AP70" i="3" s="1"/>
  <c r="AV70" i="3" s="1"/>
  <c r="AK70" i="3"/>
  <c r="AL107" i="3"/>
  <c r="AN107" i="3" s="1"/>
  <c r="AP107" i="3" s="1"/>
  <c r="AT107" i="3" s="1"/>
  <c r="AK107" i="3"/>
  <c r="AK59" i="3"/>
  <c r="AL59" i="3"/>
  <c r="AN59" i="3" s="1"/>
  <c r="AP59" i="3" s="1"/>
  <c r="AV59" i="3" s="1"/>
  <c r="AK74" i="3"/>
  <c r="AL74" i="3"/>
  <c r="AN74" i="3" s="1"/>
  <c r="AP74" i="3" s="1"/>
  <c r="AV74" i="3" s="1"/>
  <c r="AL58" i="3"/>
  <c r="AN58" i="3" s="1"/>
  <c r="AP58" i="3" s="1"/>
  <c r="AV58" i="3" s="1"/>
  <c r="AK58" i="3"/>
  <c r="AL108" i="3"/>
  <c r="AN108" i="3" s="1"/>
  <c r="AP108" i="3" s="1"/>
  <c r="AU108" i="3" s="1"/>
  <c r="AK108" i="3"/>
  <c r="AL106" i="3"/>
  <c r="AN106" i="3" s="1"/>
  <c r="AP106" i="3" s="1"/>
  <c r="AT106" i="3" s="1"/>
  <c r="AK106" i="3"/>
  <c r="AL120" i="3"/>
  <c r="AN120" i="3" s="1"/>
  <c r="AP120" i="3" s="1"/>
  <c r="AT120" i="3" s="1"/>
  <c r="AK120" i="3"/>
  <c r="AK14" i="3"/>
  <c r="AL14" i="3"/>
  <c r="AN14" i="3" s="1"/>
  <c r="AP14" i="3" s="1"/>
  <c r="AT14" i="3" s="1"/>
  <c r="AL78" i="3"/>
  <c r="AN78" i="3" s="1"/>
  <c r="AP78" i="3" s="1"/>
  <c r="AT78" i="3" s="1"/>
  <c r="AK78" i="3"/>
  <c r="AL76" i="3"/>
  <c r="AK76" i="3"/>
  <c r="AK27" i="3"/>
  <c r="AL27" i="3"/>
  <c r="AN27" i="3" s="1"/>
  <c r="AP27" i="3" s="1"/>
  <c r="AV27" i="3" s="1"/>
  <c r="AT39" i="3"/>
  <c r="AU39" i="3"/>
  <c r="AV39" i="3"/>
  <c r="AT38" i="3"/>
  <c r="AU38" i="3"/>
  <c r="AU87" i="3"/>
  <c r="AT87" i="3"/>
  <c r="AV87" i="3"/>
  <c r="AU9" i="3"/>
  <c r="AT9" i="3"/>
  <c r="AT109" i="3"/>
  <c r="AU109" i="3"/>
  <c r="AV109" i="3"/>
  <c r="AT33" i="3"/>
  <c r="AU33" i="3"/>
  <c r="AU55" i="3"/>
  <c r="AT55" i="3"/>
  <c r="AV55" i="3"/>
  <c r="AT45" i="3"/>
  <c r="AU45" i="3"/>
  <c r="AV45" i="3"/>
  <c r="AT117" i="3"/>
  <c r="AU117" i="3"/>
  <c r="AV117" i="3"/>
  <c r="AT98" i="3"/>
  <c r="AU98" i="3"/>
  <c r="AV98" i="3"/>
  <c r="AT112" i="3"/>
  <c r="AU112" i="3"/>
  <c r="AV112" i="3"/>
  <c r="AT85" i="3"/>
  <c r="AU85" i="3"/>
  <c r="AV85" i="3"/>
  <c r="AT89" i="3"/>
  <c r="AU89" i="3"/>
  <c r="AV89" i="3"/>
  <c r="AU79" i="3"/>
  <c r="AT79" i="3"/>
  <c r="AV79" i="3"/>
  <c r="AT50" i="3"/>
  <c r="AU50" i="3"/>
  <c r="AV50" i="3"/>
  <c r="AT62" i="3"/>
  <c r="AU62" i="3"/>
  <c r="AV62" i="3"/>
  <c r="AT84" i="3"/>
  <c r="AU84" i="3"/>
  <c r="AV84" i="3"/>
  <c r="AT93" i="3"/>
  <c r="AU93" i="3"/>
  <c r="AV93" i="3"/>
  <c r="AT122" i="3"/>
  <c r="AU122" i="3"/>
  <c r="AV122" i="3"/>
  <c r="AT40" i="3"/>
  <c r="AU40" i="3"/>
  <c r="AV40" i="3"/>
  <c r="AV38" i="3"/>
  <c r="AV9" i="3"/>
  <c r="AT43" i="3"/>
  <c r="AU43" i="3"/>
  <c r="AT17" i="3"/>
  <c r="AU17" i="3"/>
  <c r="AU20" i="3"/>
  <c r="AT20" i="3"/>
  <c r="AT72" i="3"/>
  <c r="AU72" i="3"/>
  <c r="AT16" i="3"/>
  <c r="AU16" i="3"/>
  <c r="AT68" i="3"/>
  <c r="AU68" i="3"/>
  <c r="AU19" i="3"/>
  <c r="AT19" i="3"/>
  <c r="AT21" i="3"/>
  <c r="AU21" i="3"/>
  <c r="AT18" i="3"/>
  <c r="AU18" i="3"/>
  <c r="AT11" i="3"/>
  <c r="AU11" i="3"/>
  <c r="AT28" i="3"/>
  <c r="AU28" i="3"/>
  <c r="AQ20" i="3"/>
  <c r="AQ33" i="3"/>
  <c r="AQ50" i="3"/>
  <c r="AQ40" i="3"/>
  <c r="AQ45" i="3"/>
  <c r="AQ117" i="3"/>
  <c r="AQ16" i="3"/>
  <c r="AQ21" i="3"/>
  <c r="AQ18" i="3"/>
  <c r="AQ62" i="3"/>
  <c r="AQ72" i="3"/>
  <c r="AQ43" i="3"/>
  <c r="AQ17" i="3"/>
  <c r="AQ109" i="3"/>
  <c r="AQ84" i="3"/>
  <c r="AQ98" i="3"/>
  <c r="AQ93" i="3"/>
  <c r="AQ68" i="3"/>
  <c r="AQ112" i="3"/>
  <c r="AQ85" i="3"/>
  <c r="AQ89" i="3"/>
  <c r="AQ79" i="3"/>
  <c r="AN8" i="3"/>
  <c r="AP8" i="3" s="1"/>
  <c r="AN34" i="3"/>
  <c r="AP34" i="3" s="1"/>
  <c r="AN35" i="3"/>
  <c r="AP35" i="3" s="1"/>
  <c r="AQ11" i="3"/>
  <c r="AQ39" i="3"/>
  <c r="AQ38" i="3"/>
  <c r="AQ122" i="3"/>
  <c r="AQ87" i="3"/>
  <c r="AQ9" i="3"/>
  <c r="AQ19" i="3"/>
  <c r="AQ55" i="3"/>
  <c r="AQ28" i="3"/>
  <c r="AN4" i="3"/>
  <c r="AN31" i="3"/>
  <c r="AP31" i="3" s="1"/>
  <c r="AN13" i="3"/>
  <c r="AP13" i="3" s="1"/>
  <c r="AN47" i="3"/>
  <c r="AP47" i="3" s="1"/>
  <c r="AN29" i="3"/>
  <c r="AP29" i="3" s="1"/>
  <c r="AN3" i="3"/>
  <c r="AP3" i="3" s="1"/>
  <c r="AQ124" i="3" l="1"/>
  <c r="AU124" i="3"/>
  <c r="AT124" i="3"/>
  <c r="AN127" i="3"/>
  <c r="AP127" i="3" s="1"/>
  <c r="AP4" i="3"/>
  <c r="AV4" i="3" s="1"/>
  <c r="AN123" i="3"/>
  <c r="AP123" i="3" s="1"/>
  <c r="AN125" i="3"/>
  <c r="AP125" i="3" s="1"/>
  <c r="AV124" i="3"/>
  <c r="AN126" i="3"/>
  <c r="AP126" i="3" s="1"/>
  <c r="AN128" i="3"/>
  <c r="AP128" i="3" s="1"/>
  <c r="AT104" i="3"/>
  <c r="AU104" i="3"/>
  <c r="AV104" i="3"/>
  <c r="AQ104" i="3"/>
  <c r="AV92" i="3"/>
  <c r="AT92" i="3"/>
  <c r="AQ92" i="3"/>
  <c r="AU92" i="3"/>
  <c r="AT118" i="3"/>
  <c r="AU118" i="3"/>
  <c r="AQ118" i="3"/>
  <c r="AV118" i="3"/>
  <c r="AN95" i="3"/>
  <c r="AP95" i="3" s="1"/>
  <c r="AN51" i="3"/>
  <c r="AP51" i="3" s="1"/>
  <c r="AN114" i="3"/>
  <c r="AP114" i="3" s="1"/>
  <c r="AN57" i="3"/>
  <c r="AP57" i="3" s="1"/>
  <c r="AN63" i="3"/>
  <c r="AP63" i="3" s="1"/>
  <c r="AN86" i="3"/>
  <c r="AP86" i="3" s="1"/>
  <c r="AN73" i="3"/>
  <c r="AP73" i="3" s="1"/>
  <c r="AN80" i="3"/>
  <c r="AP80" i="3" s="1"/>
  <c r="AT80" i="3" s="1"/>
  <c r="AN44" i="3"/>
  <c r="AP44" i="3" s="1"/>
  <c r="AN37" i="3"/>
  <c r="AN41" i="3"/>
  <c r="AP41" i="3" s="1"/>
  <c r="AN30" i="3"/>
  <c r="AO31" i="3" s="1"/>
  <c r="AQ15" i="3"/>
  <c r="AT15" i="3"/>
  <c r="AU15" i="3"/>
  <c r="AT22" i="3"/>
  <c r="AQ22" i="3"/>
  <c r="AU22" i="3"/>
  <c r="AU116" i="3"/>
  <c r="AQ116" i="3"/>
  <c r="AT116" i="3"/>
  <c r="AT97" i="3"/>
  <c r="AT65" i="3"/>
  <c r="AQ97" i="3"/>
  <c r="AV97" i="3"/>
  <c r="AT56" i="3"/>
  <c r="AQ56" i="3"/>
  <c r="AV56" i="3"/>
  <c r="AU65" i="3"/>
  <c r="AU23" i="3"/>
  <c r="AQ65" i="3"/>
  <c r="AU12" i="3"/>
  <c r="AU64" i="3"/>
  <c r="AQ12" i="3"/>
  <c r="AQ96" i="3"/>
  <c r="AQ23" i="3"/>
  <c r="AT23" i="3"/>
  <c r="AT12" i="3"/>
  <c r="AV96" i="3"/>
  <c r="AQ121" i="3"/>
  <c r="AP82" i="3"/>
  <c r="AU82" i="3" s="1"/>
  <c r="AQ99" i="3"/>
  <c r="AU101" i="3"/>
  <c r="AQ101" i="3"/>
  <c r="AV121" i="3"/>
  <c r="AT121" i="3"/>
  <c r="AT77" i="3"/>
  <c r="AU96" i="3"/>
  <c r="AT115" i="3"/>
  <c r="AQ115" i="3"/>
  <c r="AQ52" i="3"/>
  <c r="AU99" i="3"/>
  <c r="AT61" i="3"/>
  <c r="AT64" i="3"/>
  <c r="AV52" i="3"/>
  <c r="AU52" i="3"/>
  <c r="AP111" i="3"/>
  <c r="AU111" i="3" s="1"/>
  <c r="AT99" i="3"/>
  <c r="AQ64" i="3"/>
  <c r="AQ36" i="3"/>
  <c r="AT101" i="3"/>
  <c r="AQ24" i="3"/>
  <c r="AU24" i="3"/>
  <c r="AT24" i="3"/>
  <c r="AQ119" i="3"/>
  <c r="AV42" i="3"/>
  <c r="AQ42" i="3"/>
  <c r="AU42" i="3"/>
  <c r="AU103" i="3"/>
  <c r="AU102" i="3"/>
  <c r="AV83" i="3"/>
  <c r="AV105" i="3"/>
  <c r="AV46" i="3"/>
  <c r="AT25" i="3"/>
  <c r="AU46" i="3"/>
  <c r="AQ66" i="3"/>
  <c r="AU25" i="3"/>
  <c r="AQ32" i="3"/>
  <c r="AQ46" i="3"/>
  <c r="AQ105" i="3"/>
  <c r="AQ25" i="3"/>
  <c r="AQ27" i="3"/>
  <c r="AT66" i="3"/>
  <c r="AU69" i="3"/>
  <c r="AT105" i="3"/>
  <c r="AQ94" i="3"/>
  <c r="AQ100" i="3"/>
  <c r="AU66" i="3"/>
  <c r="AU94" i="3"/>
  <c r="AU32" i="3"/>
  <c r="AQ77" i="3"/>
  <c r="AT75" i="3"/>
  <c r="AV36" i="3"/>
  <c r="AQ90" i="3"/>
  <c r="AQ91" i="3"/>
  <c r="AQ75" i="3"/>
  <c r="AU7" i="3"/>
  <c r="AV75" i="3"/>
  <c r="AT88" i="3"/>
  <c r="AV77" i="3"/>
  <c r="AU90" i="3"/>
  <c r="AQ120" i="3"/>
  <c r="AQ71" i="3"/>
  <c r="AQ7" i="3"/>
  <c r="AT7" i="3"/>
  <c r="AQ103" i="3"/>
  <c r="AQ102" i="3"/>
  <c r="AQ61" i="3"/>
  <c r="AQ83" i="3"/>
  <c r="AT102" i="3"/>
  <c r="AU61" i="3"/>
  <c r="AT103" i="3"/>
  <c r="AU100" i="3"/>
  <c r="AT108" i="3"/>
  <c r="AT83" i="3"/>
  <c r="AX10" i="3"/>
  <c r="AT119" i="3"/>
  <c r="AT90" i="3"/>
  <c r="AQ88" i="3"/>
  <c r="AT71" i="3"/>
  <c r="AU36" i="3"/>
  <c r="AV88" i="3"/>
  <c r="AV115" i="3"/>
  <c r="AU71" i="3"/>
  <c r="AT67" i="3"/>
  <c r="AU26" i="3"/>
  <c r="AQ6" i="3"/>
  <c r="AQ26" i="3"/>
  <c r="AT26" i="3"/>
  <c r="AU120" i="3"/>
  <c r="AV91" i="3"/>
  <c r="AT91" i="3"/>
  <c r="AQ60" i="3"/>
  <c r="AU60" i="3"/>
  <c r="AT58" i="3"/>
  <c r="AU81" i="3"/>
  <c r="AT60" i="3"/>
  <c r="AU58" i="3"/>
  <c r="AU27" i="3"/>
  <c r="AV78" i="3"/>
  <c r="AQ113" i="3"/>
  <c r="AV120" i="3"/>
  <c r="AQ78" i="3"/>
  <c r="AQ53" i="3"/>
  <c r="AU74" i="3"/>
  <c r="AU59" i="3"/>
  <c r="AT113" i="3"/>
  <c r="AU78" i="3"/>
  <c r="AQ70" i="3"/>
  <c r="AQ69" i="3"/>
  <c r="AT69" i="3"/>
  <c r="AV53" i="3"/>
  <c r="AX109" i="3"/>
  <c r="AU70" i="3"/>
  <c r="AV113" i="3"/>
  <c r="AU53" i="3"/>
  <c r="AW10" i="3"/>
  <c r="AT70" i="3"/>
  <c r="AT6" i="3"/>
  <c r="AT100" i="3"/>
  <c r="AU119" i="3"/>
  <c r="AX43" i="3"/>
  <c r="AT94" i="3"/>
  <c r="AT81" i="3"/>
  <c r="AQ81" i="3"/>
  <c r="AQ14" i="3"/>
  <c r="AU6" i="3"/>
  <c r="AU14" i="3"/>
  <c r="AX68" i="3"/>
  <c r="AX117" i="3"/>
  <c r="AV110" i="3"/>
  <c r="AT110" i="3"/>
  <c r="AQ110" i="3"/>
  <c r="AX55" i="3"/>
  <c r="AX89" i="3"/>
  <c r="AX98" i="3"/>
  <c r="AX16" i="3"/>
  <c r="AX20" i="3"/>
  <c r="AV14" i="3"/>
  <c r="AT74" i="3"/>
  <c r="AT32" i="3"/>
  <c r="AU110" i="3"/>
  <c r="AX19" i="3"/>
  <c r="AX38" i="3"/>
  <c r="AX39" i="3"/>
  <c r="AX11" i="3"/>
  <c r="AX17" i="3"/>
  <c r="AX72" i="3"/>
  <c r="AQ67" i="3"/>
  <c r="AX45" i="3"/>
  <c r="AX50" i="3"/>
  <c r="AQ74" i="3"/>
  <c r="AU67" i="3"/>
  <c r="AT59" i="3"/>
  <c r="AX85" i="3"/>
  <c r="AX40" i="3"/>
  <c r="AT27" i="3"/>
  <c r="AV107" i="3"/>
  <c r="AV106" i="3"/>
  <c r="AO30" i="3"/>
  <c r="AQ107" i="3"/>
  <c r="AX87" i="3"/>
  <c r="AQ106" i="3"/>
  <c r="AX112" i="3"/>
  <c r="AQ59" i="3"/>
  <c r="AX18" i="3"/>
  <c r="AQ58" i="3"/>
  <c r="AV108" i="3"/>
  <c r="G17" i="7" s="1"/>
  <c r="AU107" i="3"/>
  <c r="AU106" i="3"/>
  <c r="AX79" i="3"/>
  <c r="AX62" i="3"/>
  <c r="AX33" i="3"/>
  <c r="AX9" i="3"/>
  <c r="AX122" i="3"/>
  <c r="AQ108" i="3"/>
  <c r="AX93" i="3"/>
  <c r="AX84" i="3"/>
  <c r="AW20" i="3"/>
  <c r="AW19" i="3"/>
  <c r="AW87" i="3"/>
  <c r="AW98" i="3"/>
  <c r="AW55" i="3"/>
  <c r="AN76" i="3"/>
  <c r="AT8" i="3"/>
  <c r="AU8" i="3"/>
  <c r="AV8" i="3"/>
  <c r="AU34" i="3"/>
  <c r="AT34" i="3"/>
  <c r="AV34" i="3"/>
  <c r="AT47" i="3"/>
  <c r="AU47" i="3"/>
  <c r="AV47" i="3"/>
  <c r="AT48" i="3"/>
  <c r="AU48" i="3"/>
  <c r="AV48" i="3"/>
  <c r="AX21" i="3"/>
  <c r="AW28" i="3"/>
  <c r="AW11" i="3"/>
  <c r="AW21" i="3"/>
  <c r="AW68" i="3"/>
  <c r="AW16" i="3"/>
  <c r="AW72" i="3"/>
  <c r="AW17" i="3"/>
  <c r="AW43" i="3"/>
  <c r="AW84" i="3"/>
  <c r="AW79" i="3"/>
  <c r="AW112" i="3"/>
  <c r="AW109" i="3"/>
  <c r="AW9" i="3"/>
  <c r="AW39" i="3"/>
  <c r="AT35" i="3"/>
  <c r="AU35" i="3"/>
  <c r="AV35" i="3"/>
  <c r="AT13" i="3"/>
  <c r="AU13" i="3"/>
  <c r="AV13" i="3"/>
  <c r="AW40" i="3"/>
  <c r="AW85" i="3"/>
  <c r="AW117" i="3"/>
  <c r="AT3" i="3"/>
  <c r="AU3" i="3"/>
  <c r="AV3" i="3"/>
  <c r="AT29" i="3"/>
  <c r="H12" i="7" s="1"/>
  <c r="AU29" i="3"/>
  <c r="I12" i="7" s="1"/>
  <c r="AV29" i="3"/>
  <c r="G12" i="7" s="1"/>
  <c r="AU49" i="3"/>
  <c r="AT49" i="3"/>
  <c r="AV49" i="3"/>
  <c r="AT54" i="3"/>
  <c r="AU54" i="3"/>
  <c r="AV54" i="3"/>
  <c r="AW18" i="3"/>
  <c r="AW93" i="3"/>
  <c r="AW89" i="3"/>
  <c r="AW45" i="3"/>
  <c r="AW33" i="3"/>
  <c r="AT31" i="3"/>
  <c r="AU31" i="3"/>
  <c r="AV31" i="3"/>
  <c r="AW122" i="3"/>
  <c r="AW62" i="3"/>
  <c r="AW50" i="3"/>
  <c r="AW38" i="3"/>
  <c r="AX28" i="3"/>
  <c r="AQ49" i="3"/>
  <c r="AQ35" i="3"/>
  <c r="AQ47" i="3"/>
  <c r="AQ31" i="3"/>
  <c r="AQ48" i="3"/>
  <c r="AQ29" i="3"/>
  <c r="E12" i="7" s="1"/>
  <c r="AQ54" i="3"/>
  <c r="AP5" i="3"/>
  <c r="AQ3" i="3"/>
  <c r="AQ8" i="3"/>
  <c r="AQ13" i="3"/>
  <c r="AO12" i="3"/>
  <c r="AO9" i="3"/>
  <c r="AO11" i="3"/>
  <c r="AO28" i="3"/>
  <c r="AO8" i="3"/>
  <c r="AO5" i="3"/>
  <c r="AO27" i="3"/>
  <c r="AO7" i="3"/>
  <c r="AO23" i="3"/>
  <c r="AO15" i="3"/>
  <c r="AO20" i="3"/>
  <c r="AO6" i="3"/>
  <c r="AO25" i="3"/>
  <c r="AO21" i="3"/>
  <c r="AO18" i="3"/>
  <c r="AO19" i="3"/>
  <c r="AO10" i="3"/>
  <c r="AO26" i="3"/>
  <c r="AO14" i="3"/>
  <c r="AO17" i="3"/>
  <c r="AO24" i="3"/>
  <c r="AO29" i="3"/>
  <c r="AO16" i="3"/>
  <c r="AO22" i="3"/>
  <c r="AQ34" i="3"/>
  <c r="AO13" i="3"/>
  <c r="G21" i="7" l="1"/>
  <c r="I17" i="7"/>
  <c r="H17" i="7"/>
  <c r="I21" i="7"/>
  <c r="E17" i="7"/>
  <c r="H21" i="7"/>
  <c r="F12" i="7"/>
  <c r="E21" i="7"/>
  <c r="AT4" i="3"/>
  <c r="AO34" i="3"/>
  <c r="AU4" i="3"/>
  <c r="AO35" i="3"/>
  <c r="AO32" i="3"/>
  <c r="AQ4" i="3"/>
  <c r="AO49" i="3"/>
  <c r="AO38" i="3"/>
  <c r="AO36" i="3"/>
  <c r="AV80" i="3"/>
  <c r="AO50" i="3"/>
  <c r="AO40" i="3"/>
  <c r="AO39" i="3"/>
  <c r="AO37" i="3"/>
  <c r="AP30" i="3"/>
  <c r="AV30" i="3" s="1"/>
  <c r="AX92" i="3"/>
  <c r="AW104" i="3"/>
  <c r="AO41" i="3"/>
  <c r="AO33" i="3"/>
  <c r="AU57" i="3"/>
  <c r="AQ57" i="3"/>
  <c r="AO75" i="3"/>
  <c r="AO67" i="3"/>
  <c r="AO55" i="3"/>
  <c r="AO44" i="3"/>
  <c r="AO43" i="3"/>
  <c r="AO59" i="3"/>
  <c r="AW23" i="3"/>
  <c r="AO123" i="3"/>
  <c r="AO124" i="3"/>
  <c r="AO76" i="3"/>
  <c r="AO45" i="3"/>
  <c r="AO62" i="3"/>
  <c r="AO42" i="3"/>
  <c r="AW124" i="3"/>
  <c r="AU80" i="3"/>
  <c r="AO125" i="3"/>
  <c r="AX118" i="3"/>
  <c r="AW92" i="3"/>
  <c r="AX104" i="3"/>
  <c r="AU86" i="3"/>
  <c r="AT86" i="3"/>
  <c r="AV86" i="3"/>
  <c r="AQ86" i="3"/>
  <c r="AT125" i="3"/>
  <c r="AQ125" i="3"/>
  <c r="AU125" i="3"/>
  <c r="AV125" i="3"/>
  <c r="AT127" i="3"/>
  <c r="AQ127" i="3"/>
  <c r="AU127" i="3"/>
  <c r="AV127" i="3"/>
  <c r="AT123" i="3"/>
  <c r="AQ123" i="3"/>
  <c r="AU123" i="3"/>
  <c r="AV123" i="3"/>
  <c r="AO57" i="3"/>
  <c r="AO73" i="3"/>
  <c r="AO63" i="3"/>
  <c r="AO72" i="3"/>
  <c r="AO47" i="3"/>
  <c r="AO61" i="3"/>
  <c r="AO109" i="3"/>
  <c r="AT126" i="3"/>
  <c r="AU126" i="3"/>
  <c r="AQ126" i="3"/>
  <c r="AV126" i="3"/>
  <c r="AO127" i="3"/>
  <c r="AO128" i="3"/>
  <c r="AO60" i="3"/>
  <c r="AO53" i="3"/>
  <c r="AO48" i="3"/>
  <c r="AO64" i="3"/>
  <c r="AO68" i="3"/>
  <c r="AO51" i="3"/>
  <c r="AO52" i="3"/>
  <c r="AO46" i="3"/>
  <c r="AO74" i="3"/>
  <c r="AO71" i="3"/>
  <c r="AO69" i="3"/>
  <c r="AW118" i="3"/>
  <c r="AQ80" i="3"/>
  <c r="AP37" i="3"/>
  <c r="AO126" i="3"/>
  <c r="AU128" i="3"/>
  <c r="AT128" i="3"/>
  <c r="AQ128" i="3"/>
  <c r="AV128" i="3"/>
  <c r="AX124" i="3"/>
  <c r="AO58" i="3"/>
  <c r="AO65" i="3"/>
  <c r="AO54" i="3"/>
  <c r="AO70" i="3"/>
  <c r="AO66" i="3"/>
  <c r="AO56" i="3"/>
  <c r="AV57" i="3"/>
  <c r="AT57" i="3"/>
  <c r="AU44" i="3"/>
  <c r="AT44" i="3"/>
  <c r="AQ44" i="3"/>
  <c r="AV44" i="3"/>
  <c r="AV41" i="3"/>
  <c r="AU41" i="3"/>
  <c r="AQ41" i="3"/>
  <c r="AT41" i="3"/>
  <c r="AV114" i="3"/>
  <c r="AQ114" i="3"/>
  <c r="AU114" i="3"/>
  <c r="AT114" i="3"/>
  <c r="AU63" i="3"/>
  <c r="AT63" i="3"/>
  <c r="AV63" i="3"/>
  <c r="AQ63" i="3"/>
  <c r="AV51" i="3"/>
  <c r="AT51" i="3"/>
  <c r="AU51" i="3"/>
  <c r="AQ51" i="3"/>
  <c r="AQ73" i="3"/>
  <c r="AU73" i="3"/>
  <c r="AV73" i="3"/>
  <c r="AT73" i="3"/>
  <c r="AT95" i="3"/>
  <c r="AV95" i="3"/>
  <c r="AU95" i="3"/>
  <c r="AQ95" i="3"/>
  <c r="AW15" i="3"/>
  <c r="AX15" i="3"/>
  <c r="AX22" i="3"/>
  <c r="AW22" i="3"/>
  <c r="AX116" i="3"/>
  <c r="AW116" i="3"/>
  <c r="AW97" i="3"/>
  <c r="AX97" i="3"/>
  <c r="AW56" i="3"/>
  <c r="AW26" i="3"/>
  <c r="AW12" i="3"/>
  <c r="AX65" i="3"/>
  <c r="AW65" i="3"/>
  <c r="AX56" i="3"/>
  <c r="AT82" i="3"/>
  <c r="AX12" i="3"/>
  <c r="AQ82" i="3"/>
  <c r="AV82" i="3"/>
  <c r="AW64" i="3"/>
  <c r="AW96" i="3"/>
  <c r="AX23" i="3"/>
  <c r="AW61" i="3"/>
  <c r="AT111" i="3"/>
  <c r="AW60" i="3"/>
  <c r="AW91" i="3"/>
  <c r="AW25" i="3"/>
  <c r="AV111" i="3"/>
  <c r="AW115" i="3"/>
  <c r="AX25" i="3"/>
  <c r="AW108" i="3"/>
  <c r="AW42" i="3"/>
  <c r="AW77" i="3"/>
  <c r="AX52" i="3"/>
  <c r="AQ111" i="3"/>
  <c r="AX24" i="3"/>
  <c r="AX99" i="3"/>
  <c r="AW121" i="3"/>
  <c r="AX101" i="3"/>
  <c r="AW101" i="3"/>
  <c r="AX121" i="3"/>
  <c r="AX64" i="3"/>
  <c r="AO99" i="3"/>
  <c r="AW99" i="3"/>
  <c r="AX96" i="3"/>
  <c r="AW52" i="3"/>
  <c r="AW24" i="3"/>
  <c r="AX66" i="3"/>
  <c r="AW105" i="3"/>
  <c r="AX61" i="3"/>
  <c r="AX102" i="3"/>
  <c r="AX42" i="3"/>
  <c r="AO84" i="3"/>
  <c r="AW102" i="3"/>
  <c r="AW83" i="3"/>
  <c r="AX105" i="3"/>
  <c r="AX46" i="3"/>
  <c r="AW46" i="3"/>
  <c r="AX36" i="3"/>
  <c r="AX103" i="3"/>
  <c r="AX75" i="3"/>
  <c r="AX77" i="3"/>
  <c r="AX27" i="3"/>
  <c r="AX115" i="3"/>
  <c r="AX91" i="3"/>
  <c r="AW74" i="3"/>
  <c r="AW71" i="3"/>
  <c r="AW66" i="3"/>
  <c r="AX120" i="3"/>
  <c r="AO120" i="3"/>
  <c r="AO97" i="3"/>
  <c r="AO85" i="3"/>
  <c r="AO112" i="3"/>
  <c r="AW103" i="3"/>
  <c r="AW32" i="3"/>
  <c r="AX94" i="3"/>
  <c r="AX100" i="3"/>
  <c r="AW69" i="3"/>
  <c r="AX71" i="3"/>
  <c r="AX7" i="3"/>
  <c r="AO93" i="3"/>
  <c r="AO86" i="3"/>
  <c r="AW75" i="3"/>
  <c r="AX119" i="3"/>
  <c r="AW90" i="3"/>
  <c r="AX83" i="3"/>
  <c r="AW36" i="3"/>
  <c r="AW81" i="3"/>
  <c r="AW7" i="3"/>
  <c r="AX88" i="3"/>
  <c r="AX26" i="3"/>
  <c r="AX60" i="3"/>
  <c r="AW59" i="3"/>
  <c r="AW88" i="3"/>
  <c r="AW67" i="3"/>
  <c r="AX90" i="3"/>
  <c r="AW78" i="3"/>
  <c r="AW107" i="3"/>
  <c r="AW100" i="3"/>
  <c r="AW58" i="3"/>
  <c r="AX58" i="3"/>
  <c r="AX113" i="3"/>
  <c r="AX14" i="3"/>
  <c r="AX81" i="3"/>
  <c r="AX69" i="3"/>
  <c r="AW119" i="3"/>
  <c r="AW14" i="3"/>
  <c r="AX70" i="3"/>
  <c r="AX53" i="3"/>
  <c r="AW113" i="3"/>
  <c r="AX78" i="3"/>
  <c r="AW120" i="3"/>
  <c r="AX59" i="3"/>
  <c r="AW6" i="3"/>
  <c r="AW53" i="3"/>
  <c r="AW70" i="3"/>
  <c r="AO118" i="3"/>
  <c r="AW94" i="3"/>
  <c r="AW110" i="3"/>
  <c r="AO78" i="3"/>
  <c r="AO110" i="3"/>
  <c r="AO91" i="3"/>
  <c r="AO102" i="3"/>
  <c r="AX108" i="3"/>
  <c r="AW106" i="3"/>
  <c r="AX6" i="3"/>
  <c r="AX74" i="3"/>
  <c r="AX32" i="3"/>
  <c r="AO103" i="3"/>
  <c r="AO121" i="3"/>
  <c r="AO108" i="3"/>
  <c r="AO100" i="3"/>
  <c r="AO111" i="3"/>
  <c r="AO96" i="3"/>
  <c r="AO101" i="3"/>
  <c r="AO83" i="3"/>
  <c r="AW27" i="3"/>
  <c r="AP76" i="3"/>
  <c r="AU76" i="3" s="1"/>
  <c r="I20" i="7" s="1"/>
  <c r="AX67" i="3"/>
  <c r="AX110" i="3"/>
  <c r="AO114" i="3"/>
  <c r="AO82" i="3"/>
  <c r="AO113" i="3"/>
  <c r="AO77" i="3"/>
  <c r="AO115" i="3"/>
  <c r="AO95" i="3"/>
  <c r="AO116" i="3"/>
  <c r="AX106" i="3"/>
  <c r="AX8" i="3"/>
  <c r="AW31" i="3"/>
  <c r="AX107" i="3"/>
  <c r="AX13" i="3"/>
  <c r="AX54" i="3"/>
  <c r="AX31" i="3"/>
  <c r="AW54" i="3"/>
  <c r="AX47" i="3"/>
  <c r="AW35" i="3"/>
  <c r="AO94" i="3"/>
  <c r="AO106" i="3"/>
  <c r="AO122" i="3"/>
  <c r="AO107" i="3"/>
  <c r="AO117" i="3"/>
  <c r="AO87" i="3"/>
  <c r="AO98" i="3"/>
  <c r="AX34" i="3"/>
  <c r="AO88" i="3"/>
  <c r="AO80" i="3"/>
  <c r="AO119" i="3"/>
  <c r="AO104" i="3"/>
  <c r="AO81" i="3"/>
  <c r="AO79" i="3"/>
  <c r="AO90" i="3"/>
  <c r="AO89" i="3"/>
  <c r="AO105" i="3"/>
  <c r="AO92" i="3"/>
  <c r="AX48" i="3"/>
  <c r="AX49" i="3"/>
  <c r="AW8" i="3"/>
  <c r="AW3" i="3"/>
  <c r="AW34" i="3"/>
  <c r="AX3" i="3"/>
  <c r="AX29" i="3"/>
  <c r="AX35" i="3"/>
  <c r="AW49" i="3"/>
  <c r="AW29" i="3"/>
  <c r="AW13" i="3"/>
  <c r="AW47" i="3"/>
  <c r="AT5" i="3"/>
  <c r="AU5" i="3"/>
  <c r="AV5" i="3"/>
  <c r="AW48" i="3"/>
  <c r="AQ5" i="3"/>
  <c r="AW111" i="3" l="1"/>
  <c r="H10" i="7"/>
  <c r="F17" i="7"/>
  <c r="E10" i="7"/>
  <c r="I10" i="7"/>
  <c r="G23" i="7"/>
  <c r="E18" i="7"/>
  <c r="G18" i="7"/>
  <c r="H18" i="7"/>
  <c r="G10" i="7"/>
  <c r="F21" i="7"/>
  <c r="H23" i="7"/>
  <c r="E23" i="7"/>
  <c r="I18" i="7"/>
  <c r="I23" i="7"/>
  <c r="AW4" i="3"/>
  <c r="AX4" i="3"/>
  <c r="AT30" i="3"/>
  <c r="AU30" i="3"/>
  <c r="AQ30" i="3"/>
  <c r="AW80" i="3"/>
  <c r="AX80" i="3"/>
  <c r="AT76" i="3"/>
  <c r="H20" i="7" s="1"/>
  <c r="AW95" i="3"/>
  <c r="AW127" i="3"/>
  <c r="AX86" i="3"/>
  <c r="AX95" i="3"/>
  <c r="AX51" i="3"/>
  <c r="AW86" i="3"/>
  <c r="AW73" i="3"/>
  <c r="AW51" i="3"/>
  <c r="AW63" i="3"/>
  <c r="AX114" i="3"/>
  <c r="AX44" i="3"/>
  <c r="AW57" i="3"/>
  <c r="AW128" i="3"/>
  <c r="AW126" i="3"/>
  <c r="AW123" i="3"/>
  <c r="AW125" i="3"/>
  <c r="AX63" i="3"/>
  <c r="AW114" i="3"/>
  <c r="AX73" i="3"/>
  <c r="AW44" i="3"/>
  <c r="AW41" i="3"/>
  <c r="AV37" i="3"/>
  <c r="AT37" i="3"/>
  <c r="AU37" i="3"/>
  <c r="AX127" i="3"/>
  <c r="AX57" i="3"/>
  <c r="AX41" i="3"/>
  <c r="AQ37" i="3"/>
  <c r="AX126" i="3"/>
  <c r="AX125" i="3"/>
  <c r="AX128" i="3"/>
  <c r="AX123" i="3"/>
  <c r="AW82" i="3"/>
  <c r="AX82" i="3"/>
  <c r="AX111" i="3"/>
  <c r="AQ76" i="3"/>
  <c r="E20" i="7" s="1"/>
  <c r="AV76" i="3"/>
  <c r="G20" i="7" s="1"/>
  <c r="AW5" i="3"/>
  <c r="AX5" i="3"/>
  <c r="F10" i="7" l="1"/>
  <c r="F18" i="7"/>
  <c r="F23" i="7"/>
  <c r="H19" i="7"/>
  <c r="H26" i="7" s="1"/>
  <c r="G19" i="7"/>
  <c r="G26" i="7" s="1"/>
  <c r="I19" i="7"/>
  <c r="I26" i="7" s="1"/>
  <c r="I16" i="8" s="1"/>
  <c r="F20" i="7"/>
  <c r="E19" i="7"/>
  <c r="E26" i="7" s="1"/>
  <c r="AX30" i="3"/>
  <c r="AW30" i="3"/>
  <c r="AX37" i="3"/>
  <c r="AW37" i="3"/>
  <c r="AW76" i="3"/>
  <c r="AX76" i="3"/>
  <c r="F19" i="7" l="1"/>
  <c r="F26" i="7" s="1"/>
  <c r="I13" i="8" s="1"/>
  <c r="I27" i="7"/>
  <c r="I10" i="8"/>
  <c r="I14" i="8"/>
  <c r="H27" i="7"/>
  <c r="I15" i="8"/>
  <c r="G27" i="7" l="1"/>
  <c r="F27" i="7" s="1"/>
  <c r="E27" i="7" s="1"/>
</calcChain>
</file>

<file path=xl/sharedStrings.xml><?xml version="1.0" encoding="utf-8"?>
<sst xmlns="http://schemas.openxmlformats.org/spreadsheetml/2006/main" count="1285" uniqueCount="419">
  <si>
    <t>Copayment</t>
  </si>
  <si>
    <t>Coinsurance</t>
  </si>
  <si>
    <t>Plan deductible</t>
  </si>
  <si>
    <t>Benefit deductible</t>
  </si>
  <si>
    <t>Co-payment</t>
  </si>
  <si>
    <t>OOP Limit</t>
  </si>
  <si>
    <t>Allowed amount</t>
  </si>
  <si>
    <t>Benefit Category</t>
  </si>
  <si>
    <t>Date</t>
  </si>
  <si>
    <t>Benefit category</t>
  </si>
  <si>
    <t>Claim number</t>
  </si>
  <si>
    <t>Co-insurance</t>
  </si>
  <si>
    <t>Total subscriber payment</t>
  </si>
  <si>
    <t>Covered amount</t>
  </si>
  <si>
    <t>Not covered</t>
  </si>
  <si>
    <t>Cost Sharing Type</t>
  </si>
  <si>
    <t>Not Covered</t>
  </si>
  <si>
    <t>Cost-sharing type</t>
  </si>
  <si>
    <t>Benefit Deductible+Co-pay</t>
  </si>
  <si>
    <t>Coverage Limit per Month</t>
  </si>
  <si>
    <t>Coverage Limit per Year</t>
  </si>
  <si>
    <t>Item or Service Code</t>
  </si>
  <si>
    <t>Prior use (annual)</t>
  </si>
  <si>
    <t>Calendar Month</t>
  </si>
  <si>
    <t>Prior use (month)</t>
  </si>
  <si>
    <t>Monthly limit</t>
  </si>
  <si>
    <t>Annual limit</t>
  </si>
  <si>
    <t>Co-insurance rate</t>
  </si>
  <si>
    <t>Non-covered and exclusions</t>
  </si>
  <si>
    <t>Subscriber-paid deductible</t>
  </si>
  <si>
    <t>Subscriber-paid copayment</t>
  </si>
  <si>
    <t>Subscriber-paid coinsurance</t>
  </si>
  <si>
    <t>Subscriber ChkSum</t>
  </si>
  <si>
    <t>Inpatient Hospital Care (Facility)</t>
  </si>
  <si>
    <t>Professional Services: Primary Care</t>
  </si>
  <si>
    <t>Professional Services: Obstetric Care (Bundled)</t>
  </si>
  <si>
    <t>Professional Services: Procedures &amp; Other</t>
  </si>
  <si>
    <t>Diagnostic Services: Radiology</t>
  </si>
  <si>
    <t>Diagnostic Services: Laboratory</t>
  </si>
  <si>
    <t>Prescription Drugs: Generic</t>
  </si>
  <si>
    <t>Prescription Drugs: Branded</t>
  </si>
  <si>
    <t>Over-the-counter Drugs</t>
  </si>
  <si>
    <t>Preventive Services &amp; Vaccines</t>
  </si>
  <si>
    <t>Durable Medical Equipment</t>
  </si>
  <si>
    <t>Medical Supplies</t>
  </si>
  <si>
    <t>Plan Deductible</t>
  </si>
  <si>
    <t>Co-payment amount</t>
  </si>
  <si>
    <t>CPT©, HCPCS, or
Other Billing Code</t>
  </si>
  <si>
    <t>Provider
Type</t>
  </si>
  <si>
    <t>Allowed
Amount</t>
  </si>
  <si>
    <t>Notes</t>
  </si>
  <si>
    <t>Pharmacy Retail</t>
  </si>
  <si>
    <t>Glucagon Emergency Kit</t>
  </si>
  <si>
    <t>Primary</t>
  </si>
  <si>
    <t>Routine Venipuncture</t>
  </si>
  <si>
    <t xml:space="preserve">OneTouch Delica Lancing Device </t>
  </si>
  <si>
    <t xml:space="preserve">OneTouch Ultra Blue Test Strips (Rx - box of 100) [usage = 2 strips/day; 60 per month] </t>
  </si>
  <si>
    <t>OneTouch Delica Lancets (100 per box)  [usage = 60 lancets per month]</t>
  </si>
  <si>
    <t>OneTouch Ultra Control Solution (2 vials/box)</t>
  </si>
  <si>
    <t>OneTouch Ultra 2 Blood Glucose Meter Kit</t>
  </si>
  <si>
    <t>Comprehen Metabolic Panel</t>
  </si>
  <si>
    <t>Lipid panel</t>
  </si>
  <si>
    <t>Renal Function Panel</t>
  </si>
  <si>
    <t>Urinalysis Auto W/O Scope</t>
  </si>
  <si>
    <t>Microalbumin Quantitative</t>
  </si>
  <si>
    <t>Assay of Urine Creatinine</t>
  </si>
  <si>
    <t>BD Ultrafine Insulin Syringes / 30G/ 0.5cc  [usage = 30 syringes per month]</t>
  </si>
  <si>
    <t>Assay Glucose Blood Quant</t>
  </si>
  <si>
    <t>Glycosylated Hemoglobin Test</t>
  </si>
  <si>
    <t>Insulin glargine 100 unit/ml injectable solution (Rx - 10ml vial)  [20 units QD; expires 28 days after first use]</t>
  </si>
  <si>
    <t>Metformin hydrochloride 500mg (Rx) [1 BID; #60 pills/month]</t>
  </si>
  <si>
    <t>Ramipril 10mg (Rx) [1 QD; #30 pills/month]</t>
  </si>
  <si>
    <t>Dietician</t>
  </si>
  <si>
    <t>Med Nutrition Indiv Subseq</t>
  </si>
  <si>
    <t>Diabetes Educator</t>
  </si>
  <si>
    <t>Self-mgmt educ &amp; train 1 pt</t>
  </si>
  <si>
    <t>Ophthalmology</t>
  </si>
  <si>
    <t>Office/Outpatient Visit New</t>
  </si>
  <si>
    <t>Podiatry</t>
  </si>
  <si>
    <t>Office/Outpatient Visit Est</t>
  </si>
  <si>
    <t>OTC</t>
  </si>
  <si>
    <t>Alcohol swabs (OTC - box of 100)  [usage = 3 wipes/day; 90 wipes/month]</t>
  </si>
  <si>
    <t>Aspirin 81mg (OTC - bottle 100) [usage = 1 QD; #30 pills per month]</t>
  </si>
  <si>
    <t>Immunization Admin ADMIN</t>
  </si>
  <si>
    <t xml:space="preserve">Immunization admin each add </t>
  </si>
  <si>
    <t>Pneumococcal vacc 7 val im</t>
  </si>
  <si>
    <t>Flu Vaccine No Preserv 3 &amp; &gt;</t>
  </si>
  <si>
    <t>Subscriber pays:</t>
  </si>
  <si>
    <t>Plan payment (unrounded)</t>
  </si>
  <si>
    <t>Allowed Amount (rounded)</t>
  </si>
  <si>
    <t>Allowed Amount (unrounded)</t>
  </si>
  <si>
    <t>Total (unrounded)</t>
  </si>
  <si>
    <t>Plan Pays:</t>
  </si>
  <si>
    <t>Patient Pays:</t>
  </si>
  <si>
    <t>Deductibles</t>
  </si>
  <si>
    <t>Copayments</t>
  </si>
  <si>
    <t>Exclusions &amp; Limits</t>
  </si>
  <si>
    <t>Oxycodone/APAP 5mg/325mg (Rx) [1 pill Q6H PRN; 15 pills]</t>
  </si>
  <si>
    <t>Ibuprofen 800mg (Rx) [1 pill Q8H PRN; 60 pills]</t>
  </si>
  <si>
    <t>S9443</t>
  </si>
  <si>
    <t>Inpatient Facility</t>
  </si>
  <si>
    <t>Lactation class</t>
  </si>
  <si>
    <t>Included in hospital rate**</t>
  </si>
  <si>
    <t>Normal newborn</t>
  </si>
  <si>
    <t>Anesthesiology</t>
  </si>
  <si>
    <t>Anesth/analg vag delivery</t>
  </si>
  <si>
    <t>OBGYN</t>
  </si>
  <si>
    <t>Obstetrical Care</t>
  </si>
  <si>
    <t>59400 - Global OB package description/code</t>
  </si>
  <si>
    <t>Docusate sodium (OTC) [1 pill QD]</t>
  </si>
  <si>
    <t>Prenatal Vitamins (OTC - Bottle of 100) [1 pill daily; 30 pills/month]</t>
  </si>
  <si>
    <t>S9442</t>
  </si>
  <si>
    <t>Alternative Provider</t>
  </si>
  <si>
    <t>Birthing class</t>
  </si>
  <si>
    <t xml:space="preserve"> Immunization Admin</t>
  </si>
  <si>
    <t>Flu Vaccine N0 Preserv 3 &amp; &gt;</t>
  </si>
  <si>
    <t>Cystic fibrosis screen</t>
  </si>
  <si>
    <t>Radiology</t>
  </si>
  <si>
    <t>OB US &gt;/= 14 WKS SNGL FETUS</t>
  </si>
  <si>
    <t>Obstetric Panel</t>
  </si>
  <si>
    <t>80055 - Global OB panel code</t>
  </si>
  <si>
    <t>Alpha-fetoprotein serum</t>
  </si>
  <si>
    <t>Maternal serum quad screen</t>
  </si>
  <si>
    <t>Glucose Test</t>
  </si>
  <si>
    <t>Molecule isolate nucleic</t>
  </si>
  <si>
    <t>Molecule nucleic ampli 2 seq</t>
  </si>
  <si>
    <t>Molecule nucleic ampli addon</t>
  </si>
  <si>
    <t>Nucleic acid high resolute</t>
  </si>
  <si>
    <t>Genetic examination</t>
  </si>
  <si>
    <t>Mutation ident ola/sbce/aspe</t>
  </si>
  <si>
    <t>Chorionic gonadotropin test</t>
  </si>
  <si>
    <t>Complete cbc w/auto diff wbc</t>
  </si>
  <si>
    <t>Inhibin A</t>
  </si>
  <si>
    <t>HIV-1</t>
  </si>
  <si>
    <t>Strep B DNA Amp Probe</t>
  </si>
  <si>
    <t xml:space="preserve">Detect agnt mult dna ampli </t>
  </si>
  <si>
    <t>Gonorrhea / Chlamydia screen</t>
  </si>
  <si>
    <t>Cytopath TBS C/V Manual</t>
  </si>
  <si>
    <t>Pap smear</t>
  </si>
  <si>
    <t>Post partum visit</t>
  </si>
  <si>
    <t>Vaginal delivery w/o complicating diagnoses</t>
  </si>
  <si>
    <t>Urine Pregnancy Test</t>
  </si>
  <si>
    <t>Inpatient Maternity Bundle (Bundled line items 4, 5, 34)</t>
  </si>
  <si>
    <t>see individual line items on Line Item Maternity tab</t>
  </si>
  <si>
    <t>Benefit Deductible</t>
  </si>
  <si>
    <t>Benefit Deductible+Co-ins</t>
  </si>
  <si>
    <t>Coverage Limits</t>
  </si>
  <si>
    <t>Type of cost sharing that applies</t>
  </si>
  <si>
    <t>per month</t>
  </si>
  <si>
    <t>per year</t>
  </si>
  <si>
    <t>Benefit Deductible Only</t>
  </si>
  <si>
    <t>Copayment Only</t>
  </si>
  <si>
    <t>No Cost Sharing</t>
  </si>
  <si>
    <t>Plan Deductible Only</t>
  </si>
  <si>
    <t>Coinsurance Only</t>
  </si>
  <si>
    <t>Individual Out-of-Pocket (OOP) Limit</t>
  </si>
  <si>
    <t>A0425</t>
  </si>
  <si>
    <t>E0114</t>
  </si>
  <si>
    <t>Q4038</t>
  </si>
  <si>
    <t>Ambulance (land)</t>
  </si>
  <si>
    <t>Outpatient Hospital</t>
  </si>
  <si>
    <t>Physical Therapy</t>
  </si>
  <si>
    <t>Ground mileage, per statute mile</t>
  </si>
  <si>
    <t>Emergency department visit for evaluation and management of patient, which req 3 key components. Usually, presenting problem(s) are high severity, &amp; require urgent physician evaluation but do not pose</t>
  </si>
  <si>
    <t>Radiologic examination, foot; complete, minimum of 3 views</t>
  </si>
  <si>
    <t>Closed treatment of metatarsal fracture; without manipulation, each</t>
  </si>
  <si>
    <t>Crutches, underarm, other than wood, adjustable or fixed, pair, with pads, tips, and handgrips</t>
  </si>
  <si>
    <t>Office or other outpatient visit for the evaluation and management of a new patient, which requires at least 3 key components. Physicians typically spend 30 minutes face-to-face with the patient.</t>
  </si>
  <si>
    <t>Application of short leg cast (below knee to toes);</t>
  </si>
  <si>
    <t>Cast supplies, short leg cast, adult (11 years +), fiberglass</t>
  </si>
  <si>
    <t>Radiologic examination, foot; 2 views</t>
  </si>
  <si>
    <t>Office or other outpatient visit for the evaluation and management of an established patient, which requires at least 2 of 3 key components. Physicians typically spend 15 minutes face-to-face with the</t>
  </si>
  <si>
    <t>Physical therapy evaluation</t>
  </si>
  <si>
    <t>Therapeutic procedure, 1 or more areas, each 15 minutes; therapeutic exercises to develop strength and endurance, range of motion and flexibility</t>
  </si>
  <si>
    <t>PLAN_ID</t>
  </si>
  <si>
    <t>PLAN_PAYS</t>
  </si>
  <si>
    <t>SUBSCRIBER_DEDUC</t>
  </si>
  <si>
    <t>SUBSCRIBER_COPAY</t>
  </si>
  <si>
    <t>SUBSCRIBER_COINS</t>
  </si>
  <si>
    <t>SUBSCRIBER_EXCL</t>
  </si>
  <si>
    <t>SUBSCRIBER_PAYS</t>
  </si>
  <si>
    <t>Monthly Limits</t>
  </si>
  <si>
    <t>Annual Limits</t>
  </si>
  <si>
    <t>OOP Limit Applies</t>
  </si>
  <si>
    <t>Description</t>
  </si>
  <si>
    <t>Covered amount remaining after deductibles</t>
  </si>
  <si>
    <t>OOP</t>
  </si>
  <si>
    <t>limit applies?</t>
  </si>
  <si>
    <t>Cost sharing description</t>
  </si>
  <si>
    <t>Allowed Amount</t>
  </si>
  <si>
    <t>Total (rounded)</t>
  </si>
  <si>
    <t>Cost sharing Type</t>
  </si>
  <si>
    <t>Rx deductible</t>
  </si>
  <si>
    <t>Rx Deductible</t>
  </si>
  <si>
    <t>Plan deductible applies</t>
  </si>
  <si>
    <t>Rx deductible applies</t>
  </si>
  <si>
    <t xml:space="preserve">Option 2: </t>
  </si>
  <si>
    <t>You have three options for loading plan-level data.</t>
  </si>
  <si>
    <t>Option 3:</t>
  </si>
  <si>
    <t>Copy and paste data from an external file into the plan input data worksheet.</t>
  </si>
  <si>
    <t>This worksheet contains the benefit parameters for multiple plans.</t>
  </si>
  <si>
    <t>Click the button that corresponds to the mode you want to use.</t>
  </si>
  <si>
    <t>The user enters data for an individual plan and views the results.</t>
  </si>
  <si>
    <t>The user loads data for multiple plans and runs the calculator.</t>
  </si>
  <si>
    <t xml:space="preserve">the results to an external file, or copy and paste the results for </t>
  </si>
  <si>
    <t>Import data from external file.</t>
  </si>
  <si>
    <t>Summary of Subscriber &amp; Plan Payments</t>
  </si>
  <si>
    <t>This worksheet saves the results for the plans listed on the PLAN_OUTPUT_DATA worksheet.</t>
  </si>
  <si>
    <t>You can update the output by clicking on the button to the left.</t>
  </si>
  <si>
    <t>After the output data have been recalculated the RESULTS_SUMMARY worksheet will be displayed.</t>
  </si>
  <si>
    <t>Plan 1</t>
  </si>
  <si>
    <t>Welcome to the Coverage Examples Cost Sharing Calculator</t>
  </si>
  <si>
    <t>All insurer data entry fields are highlighted in orange.</t>
  </si>
  <si>
    <t>The Cost Sharing Calculator operates in two modes.</t>
  </si>
  <si>
    <t>The user can then browse the results for the individual plans, save</t>
  </si>
  <si>
    <t>Single Plan Mode</t>
  </si>
  <si>
    <t xml:space="preserve">Enter or modify data for each plan. </t>
  </si>
  <si>
    <t>Data entry fields are highlighted in orange.</t>
  </si>
  <si>
    <t>Multiple Plan Mode</t>
  </si>
  <si>
    <t>In multiple plan mode you load data for multiple plans into the calculator.</t>
  </si>
  <si>
    <t>The calculator will check your plan benefit design data for errors and calculate</t>
  </si>
  <si>
    <t>subscriber cost sharing for each plan.</t>
  </si>
  <si>
    <t>After loading plan data you can browse the output and review the benefit design</t>
  </si>
  <si>
    <t>parameters for each plan. You can also correct any errors that were identfied</t>
  </si>
  <si>
    <t>and update your input data by switching to Single Plan Mode.</t>
  </si>
  <si>
    <t>Select the option you want to use by clicking the appropriate button.</t>
  </si>
  <si>
    <t>Click the button to the left to switch to Single Plan Mode</t>
  </si>
  <si>
    <t>You can copy and paste data for individual plans from an external source starting on row 8.</t>
  </si>
  <si>
    <t>the individual plans to a separate worksheet.</t>
  </si>
  <si>
    <t>Type 2 Diabetes Example: Summary of Subscriber and Plan Payments</t>
  </si>
  <si>
    <t>Maternity Example: Summary of Subscriber and Plan Payments</t>
  </si>
  <si>
    <t>Foot Fracture Example: Summary of Subscriber and Plan Payments</t>
  </si>
  <si>
    <t>Maternity Example</t>
  </si>
  <si>
    <t>Diabetes Type 2 Example</t>
  </si>
  <si>
    <t>Foot Fracture Example</t>
  </si>
  <si>
    <t>Plan 2</t>
  </si>
  <si>
    <t>Ophthalmological services: medical examination &amp; evaluation, with initiation or continuation of diagnostic and treatment program, comprehensive, established patient, 1 or more visits</t>
  </si>
  <si>
    <t>CRESTOR 10MG TABLET (90 BOT) (NDC: 00310075190)</t>
  </si>
  <si>
    <t>METFORMIN HCL 850 MG TABLET</t>
  </si>
  <si>
    <t>Atorvastatin 20 MG tablet 90 CT</t>
  </si>
  <si>
    <t>Cost sharing¹</t>
  </si>
  <si>
    <t>¹ The benefit-specific deductible, copayment amount, or coinsurance rate that determines consumer liability.</t>
  </si>
  <si>
    <t>² Outpatient services include non-professional Emergency Department services. Professional services fall under the Professional Services benefit categories.</t>
  </si>
  <si>
    <t>Diabetes</t>
  </si>
  <si>
    <t>Maternity</t>
  </si>
  <si>
    <t>Foot Fracture</t>
  </si>
  <si>
    <t>Summary of allowed amount for each example</t>
  </si>
  <si>
    <t>Emergency Department (Facility)</t>
  </si>
  <si>
    <t>Ambulance</t>
  </si>
  <si>
    <t>Professional Services: Physical Therapy</t>
  </si>
  <si>
    <t>OOP limit applies?</t>
  </si>
  <si>
    <t>Yes</t>
  </si>
  <si>
    <t>None</t>
  </si>
  <si>
    <t>Over-the-counter Medical Supplies</t>
  </si>
  <si>
    <t>Plan Design Errors</t>
  </si>
  <si>
    <t>Errors exist</t>
  </si>
  <si>
    <t>Has benefit deductible</t>
  </si>
  <si>
    <t>Has co-payment</t>
  </si>
  <si>
    <t>Has co-insurance</t>
  </si>
  <si>
    <t>Has monthly limit</t>
  </si>
  <si>
    <t>Has annual limit</t>
  </si>
  <si>
    <t>Has OOP limit</t>
  </si>
  <si>
    <t>OOP limit applies</t>
  </si>
  <si>
    <t>remaining plan deductible</t>
  </si>
  <si>
    <t>subscriber pays toward plan deductible</t>
  </si>
  <si>
    <t>subscriber pays toward Rx deductible</t>
  </si>
  <si>
    <t>subscriber pays toward benefit deductible</t>
  </si>
  <si>
    <t>remaining Rx deductible</t>
  </si>
  <si>
    <t>remaining benefit deductible</t>
  </si>
  <si>
    <t>benefit deductible applies</t>
  </si>
  <si>
    <t>Out of Pocket Limit</t>
  </si>
  <si>
    <t>Deductible D</t>
  </si>
  <si>
    <t>Deductible C</t>
  </si>
  <si>
    <t>Uses plan deductible</t>
  </si>
  <si>
    <t>Uses Rx deductible</t>
  </si>
  <si>
    <t>Uses copayment</t>
  </si>
  <si>
    <t>Uses coinsurance</t>
  </si>
  <si>
    <t>Uses deductible C</t>
  </si>
  <si>
    <t>Uses deductible D</t>
  </si>
  <si>
    <t>Uses benefit deductible</t>
  </si>
  <si>
    <t>Monthly limits allowed?</t>
  </si>
  <si>
    <t>Annual Limits allowed?</t>
  </si>
  <si>
    <t>Allowed Coverage type?</t>
  </si>
  <si>
    <t>Coverage type</t>
  </si>
  <si>
    <t>Other Facility Services</t>
  </si>
  <si>
    <t>Professional Services: Specialist</t>
  </si>
  <si>
    <t>Professional Services: Emergency Department</t>
  </si>
  <si>
    <t>Other Items &amp; Services</t>
  </si>
  <si>
    <t>Coverage Options Table</t>
  </si>
  <si>
    <t>Coverage parameters allowed</t>
  </si>
  <si>
    <t>Co-insurance amount</t>
  </si>
  <si>
    <t>Allowed amount after co-payment or co-insurance</t>
  </si>
  <si>
    <t>Optional Deductible C</t>
  </si>
  <si>
    <t>Optional Deductible D</t>
  </si>
  <si>
    <t>deductible C applies</t>
  </si>
  <si>
    <t>remaining deductible C</t>
  </si>
  <si>
    <t>subscriber pays toward deductible C</t>
  </si>
  <si>
    <t>deductible D applies</t>
  </si>
  <si>
    <t>remaining deductible D</t>
  </si>
  <si>
    <t>subscriber pays toward deductible D</t>
  </si>
  <si>
    <t>subscriber pays toward any deductible</t>
  </si>
  <si>
    <t>subscriber payment after OOP limit</t>
  </si>
  <si>
    <t>subscriber payment before OPL</t>
  </si>
  <si>
    <t>OPL applies</t>
  </si>
  <si>
    <t>amount subject to OPL</t>
  </si>
  <si>
    <t>remaining OPL after subscriber payment</t>
  </si>
  <si>
    <t>Exclusions</t>
  </si>
  <si>
    <t>Allowable Charge ChkSum</t>
  </si>
  <si>
    <t>Parameters specified in plan benefit design</t>
  </si>
  <si>
    <t>A0429</t>
  </si>
  <si>
    <t>Ambulance service, basic life support, emergency transport (bls-emergency)</t>
  </si>
  <si>
    <t>L4387</t>
  </si>
  <si>
    <t>Walking boot, non-pneumatic, with or without joints, with or without interface material, prefabricated, off-the-shelf</t>
  </si>
  <si>
    <t>Not used</t>
  </si>
  <si>
    <t>Assay of estriol</t>
  </si>
  <si>
    <t>CFTR gene analysis, common variants</t>
  </si>
  <si>
    <t>Inpatient Professional</t>
  </si>
  <si>
    <t>Initial hospital or birthing center care, per day, for E/M of normal newborn infant</t>
  </si>
  <si>
    <t>Valid Benefit Category</t>
  </si>
  <si>
    <t>Timeline Count</t>
  </si>
  <si>
    <t>not used</t>
  </si>
  <si>
    <t>plan payment</t>
  </si>
  <si>
    <t>Phase 1</t>
  </si>
  <si>
    <t>Phase 2</t>
  </si>
  <si>
    <t>Phase 3</t>
  </si>
  <si>
    <t>Phase 4</t>
  </si>
  <si>
    <t>Phase 5: plan deductible</t>
  </si>
  <si>
    <t>Phase 5: Rx deductible</t>
  </si>
  <si>
    <t>Phase 5: optional deductible C</t>
  </si>
  <si>
    <t>Phase 5: optional deductible D</t>
  </si>
  <si>
    <t>Phase 5: benefit deductible</t>
  </si>
  <si>
    <t>Phase 6</t>
  </si>
  <si>
    <t>Phase 7</t>
  </si>
  <si>
    <t>Phase 8</t>
  </si>
  <si>
    <t>Phase 5</t>
  </si>
  <si>
    <t>subscriber pays because monthly limit exceeded</t>
  </si>
  <si>
    <t>subscriber pays because annual limit exceeded</t>
  </si>
  <si>
    <t>For documentation related to this version of the coverage examples calculator see:</t>
  </si>
  <si>
    <t>sbc_tool_alt_20151001.xlsm</t>
  </si>
  <si>
    <t>VERSION</t>
  </si>
  <si>
    <t>DATE</t>
  </si>
  <si>
    <t>PURPOSE OF REVISIONS</t>
  </si>
  <si>
    <t>WORKSHEETS AFFECTED</t>
  </si>
  <si>
    <t>Beta Release of Version 2</t>
  </si>
  <si>
    <t>MANUAL_INPUT</t>
  </si>
  <si>
    <t>BENEFIT_DESIGN_ERRORS</t>
  </si>
  <si>
    <t>BENEFIT_DESIGN</t>
  </si>
  <si>
    <t>_TIMELINE</t>
  </si>
  <si>
    <t>Replaced with revised timelines</t>
  </si>
  <si>
    <t>_LINE_ITEM</t>
  </si>
  <si>
    <t>Replaced with revised schedule of services</t>
  </si>
  <si>
    <t>PLAN_INPUT_DATA</t>
  </si>
  <si>
    <t>Added 6 benefit options</t>
  </si>
  <si>
    <t>Added 2 optional deductibles</t>
  </si>
  <si>
    <t>Added 3 additional benefit categories</t>
  </si>
  <si>
    <t>Revised to accommodate additional benefit options and benefit categories</t>
  </si>
  <si>
    <t>Revised to accommodate additional deductible options and benefit categories</t>
  </si>
  <si>
    <t>CHANGES</t>
  </si>
  <si>
    <t>2.01</t>
  </si>
  <si>
    <t>2.02</t>
  </si>
  <si>
    <t>Add maternity line items</t>
  </si>
  <si>
    <t>MATERNITY_LINE_ITEM</t>
  </si>
  <si>
    <t>Add normal vaginal delivery codes (not bundled)</t>
  </si>
  <si>
    <t xml:space="preserve">Professional Services: </t>
  </si>
  <si>
    <t>Vaginal delivery only (with or without episiotomy and/or forceps)</t>
  </si>
  <si>
    <t>Vaginal delivery with postpartum care</t>
  </si>
  <si>
    <t>Deductible C Only</t>
  </si>
  <si>
    <t>Rx Deductible+Co-pay</t>
  </si>
  <si>
    <t>Plan 3</t>
  </si>
  <si>
    <t>Set office visit components of bundle (item 32, 33) to zero.</t>
  </si>
  <si>
    <t>2.03</t>
  </si>
  <si>
    <t>Diabetes subscriber payment</t>
  </si>
  <si>
    <t>Foot fracture subscriber payment</t>
  </si>
  <si>
    <t>RESULTS_SUMMARY</t>
  </si>
  <si>
    <t>DIABETES_LINE_ITEM</t>
  </si>
  <si>
    <t>Technical corrections</t>
  </si>
  <si>
    <t>Change benefit category for insulin to brand drug</t>
  </si>
  <si>
    <t>Plan Parameters</t>
  </si>
  <si>
    <t>Enter data for each plan in Single Plan Mode and save the data to the input data worksheet.</t>
  </si>
  <si>
    <t>Parameters Changed?</t>
  </si>
  <si>
    <t>Rename worksheets</t>
  </si>
  <si>
    <t>Changed to BENEFIT_DESIGN</t>
  </si>
  <si>
    <t>Prompt to save changed parameters</t>
  </si>
  <si>
    <t>Added prompt to save changed parameters before navigating to next or</t>
  </si>
  <si>
    <t>previous plan</t>
  </si>
  <si>
    <t>Update plan count</t>
  </si>
  <si>
    <t>Update total plan count when new plan is added</t>
  </si>
  <si>
    <t>2.04</t>
  </si>
  <si>
    <t>Total plan count:</t>
  </si>
  <si>
    <t>Current plan:</t>
  </si>
  <si>
    <t>Increase benefit categories</t>
  </si>
  <si>
    <t>Increased the number of benefit categories to 20</t>
  </si>
  <si>
    <t>BENEFIT_PARAMETERS</t>
  </si>
  <si>
    <t>MATERNITY_SUMMARY</t>
  </si>
  <si>
    <t>DIABETES_SUMMARY</t>
  </si>
  <si>
    <t>FRACTURE_SUMMARY</t>
  </si>
  <si>
    <t>Diabetes Example</t>
  </si>
  <si>
    <t>2.05</t>
  </si>
  <si>
    <t>S99929A</t>
  </si>
  <si>
    <t>O80, Z370</t>
  </si>
  <si>
    <t>S92353A</t>
  </si>
  <si>
    <t>E119.00, Z7982, Z794</t>
  </si>
  <si>
    <t>Z3400</t>
  </si>
  <si>
    <t>Z23</t>
  </si>
  <si>
    <t>Z392</t>
  </si>
  <si>
    <t>Z3201</t>
  </si>
  <si>
    <t>Z3800</t>
  </si>
  <si>
    <t>Update ICD-9 diagnosis codes</t>
  </si>
  <si>
    <t>FRACTURE_LINE_ITEM</t>
  </si>
  <si>
    <t>Update to ICD-10 diagnosis codes</t>
  </si>
  <si>
    <t>Remove unused line-items</t>
  </si>
  <si>
    <t>Remove line-items that are not used in timeline</t>
  </si>
  <si>
    <t>Change button labels</t>
  </si>
  <si>
    <t>Change all buttons for examples to have consistent labels</t>
  </si>
  <si>
    <t xml:space="preserve">Update to ICD-10 diagnosis codes </t>
  </si>
  <si>
    <t>Diagnosis Code 
(ICD-10)</t>
  </si>
  <si>
    <t>2.06</t>
  </si>
  <si>
    <t>Correction</t>
  </si>
  <si>
    <t>Change column B heading to reference ICD-10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</si>
</sst>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m/dd/yyyy;@"/>
    <numFmt numFmtId="167" formatCode="&quot;$&quot;#,###;;&quot;$&quot;0"/>
    <numFmt numFmtId="168" formatCode="##%;\-##%;0%"/>
    <numFmt numFmtId="169" formatCode="&quot;$&quot;#,##0_);[Red]\(&quot;$&quot;#,##0\);\-"/>
    <numFmt numFmtId="170" formatCode="&quot;$&quot;#,##0.00_);[Red]\(&quot;$&quot;#,##0.00\);\-"/>
    <numFmt numFmtId="171" formatCode="&quot;plan &quot;0"/>
    <numFmt numFmtId="172" formatCode="m/d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5" borderId="8" applyFont="0" applyFill="0" applyBorder="0" applyAlignment="0" applyProtection="0">
      <alignment horizontal="center"/>
    </xf>
    <xf numFmtId="168" fontId="1" fillId="5" borderId="8" applyFont="0" applyFill="0" applyBorder="0" applyAlignment="0" applyProtection="0">
      <alignment horizontal="center"/>
    </xf>
  </cellStyleXfs>
  <cellXfs count="2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6" fontId="0" fillId="0" borderId="0" xfId="0" applyNumberFormat="1"/>
    <xf numFmtId="9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wrapText="1"/>
    </xf>
    <xf numFmtId="0" fontId="2" fillId="0" borderId="0" xfId="0" applyNumberFormat="1" applyFont="1"/>
    <xf numFmtId="9" fontId="0" fillId="0" borderId="0" xfId="1" applyFont="1"/>
    <xf numFmtId="9" fontId="0" fillId="0" borderId="0" xfId="1" applyFont="1" applyAlignment="1">
      <alignment wrapText="1"/>
    </xf>
    <xf numFmtId="167" fontId="0" fillId="6" borderId="8" xfId="3" applyFont="1" applyFill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67" fontId="0" fillId="7" borderId="8" xfId="3" applyFont="1" applyFill="1" applyBorder="1" applyAlignment="1">
      <alignment horizontal="right"/>
    </xf>
    <xf numFmtId="167" fontId="3" fillId="6" borderId="8" xfId="3" applyFont="1" applyFill="1" applyBorder="1" applyAlignment="1">
      <alignment horizontal="right"/>
    </xf>
    <xf numFmtId="0" fontId="0" fillId="0" borderId="0" xfId="0" applyFill="1"/>
    <xf numFmtId="8" fontId="0" fillId="0" borderId="0" xfId="0" applyNumberFormat="1"/>
    <xf numFmtId="0" fontId="0" fillId="0" borderId="0" xfId="0" applyBorder="1"/>
    <xf numFmtId="0" fontId="0" fillId="5" borderId="13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2" borderId="18" xfId="0" applyFill="1" applyBorder="1"/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/>
    <xf numFmtId="0" fontId="0" fillId="5" borderId="3" xfId="0" applyFill="1" applyBorder="1" applyAlignment="1" applyProtection="1">
      <alignment horizontal="left"/>
      <protection locked="0"/>
    </xf>
    <xf numFmtId="165" fontId="0" fillId="5" borderId="23" xfId="3" applyNumberFormat="1" applyFont="1" applyFill="1" applyBorder="1" applyAlignment="1" applyProtection="1">
      <alignment horizontal="center"/>
      <protection locked="0"/>
    </xf>
    <xf numFmtId="165" fontId="0" fillId="5" borderId="12" xfId="3" applyNumberFormat="1" applyFont="1" applyFill="1" applyBorder="1" applyAlignment="1" applyProtection="1">
      <alignment horizontal="center"/>
      <protection locked="0"/>
    </xf>
    <xf numFmtId="9" fontId="0" fillId="5" borderId="12" xfId="1" applyFont="1" applyFill="1" applyBorder="1" applyAlignment="1" applyProtection="1">
      <alignment horizontal="center"/>
      <protection locked="0"/>
    </xf>
    <xf numFmtId="0" fontId="0" fillId="8" borderId="8" xfId="0" applyFill="1" applyBorder="1" applyAlignment="1">
      <alignment horizontal="center"/>
    </xf>
    <xf numFmtId="0" fontId="0" fillId="2" borderId="25" xfId="0" applyFill="1" applyBorder="1"/>
    <xf numFmtId="0" fontId="0" fillId="5" borderId="12" xfId="0" applyFill="1" applyBorder="1" applyAlignment="1" applyProtection="1">
      <alignment horizontal="left"/>
      <protection locked="0"/>
    </xf>
    <xf numFmtId="167" fontId="0" fillId="5" borderId="12" xfId="3" applyFont="1" applyFill="1" applyBorder="1" applyAlignment="1" applyProtection="1">
      <alignment horizontal="center"/>
      <protection locked="0"/>
    </xf>
    <xf numFmtId="165" fontId="0" fillId="5" borderId="8" xfId="4" applyNumberFormat="1" applyFont="1" applyFill="1" applyBorder="1" applyAlignment="1" applyProtection="1">
      <alignment horizontal="center"/>
      <protection locked="0"/>
    </xf>
    <xf numFmtId="168" fontId="0" fillId="8" borderId="3" xfId="4" applyFont="1" applyFill="1" applyBorder="1" applyAlignment="1" applyProtection="1">
      <alignment horizontal="center"/>
      <protection locked="0"/>
    </xf>
    <xf numFmtId="0" fontId="0" fillId="2" borderId="27" xfId="0" applyFill="1" applyBorder="1"/>
    <xf numFmtId="165" fontId="0" fillId="5" borderId="28" xfId="3" applyNumberFormat="1" applyFont="1" applyFill="1" applyBorder="1" applyAlignment="1" applyProtection="1">
      <alignment horizontal="center"/>
      <protection locked="0"/>
    </xf>
    <xf numFmtId="165" fontId="0" fillId="8" borderId="20" xfId="3" applyNumberFormat="1" applyFont="1" applyFill="1" applyBorder="1" applyAlignment="1" applyProtection="1">
      <alignment horizontal="center"/>
      <protection locked="0"/>
    </xf>
    <xf numFmtId="167" fontId="0" fillId="8" borderId="28" xfId="3" applyFont="1" applyFill="1" applyBorder="1" applyAlignment="1" applyProtection="1">
      <alignment horizontal="center"/>
      <protection locked="0"/>
    </xf>
    <xf numFmtId="0" fontId="0" fillId="8" borderId="20" xfId="0" applyFill="1" applyBorder="1" applyAlignment="1">
      <alignment horizontal="center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8" borderId="24" xfId="0" applyFill="1" applyBorder="1" applyAlignment="1" applyProtection="1">
      <alignment horizontal="center"/>
      <protection locked="0"/>
    </xf>
    <xf numFmtId="0" fontId="0" fillId="8" borderId="29" xfId="0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8" xfId="0" applyFill="1" applyBorder="1" applyAlignment="1"/>
    <xf numFmtId="0" fontId="0" fillId="2" borderId="2" xfId="0" applyFill="1" applyBorder="1" applyAlignment="1"/>
    <xf numFmtId="0" fontId="0" fillId="4" borderId="1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2" fillId="2" borderId="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4" borderId="7" xfId="0" applyFill="1" applyBorder="1" applyAlignment="1"/>
    <xf numFmtId="0" fontId="0" fillId="4" borderId="0" xfId="0" applyFill="1" applyBorder="1" applyAlignment="1"/>
    <xf numFmtId="0" fontId="0" fillId="4" borderId="9" xfId="0" applyFill="1" applyBorder="1" applyAlignment="1"/>
    <xf numFmtId="0" fontId="0" fillId="4" borderId="10" xfId="0" applyFill="1" applyBorder="1" applyAlignment="1"/>
    <xf numFmtId="0" fontId="0" fillId="4" borderId="11" xfId="0" applyFill="1" applyBorder="1" applyAlignment="1"/>
    <xf numFmtId="0" fontId="0" fillId="4" borderId="12" xfId="0" applyFill="1" applyBorder="1" applyAlignment="1"/>
    <xf numFmtId="0" fontId="0" fillId="0" borderId="2" xfId="0" applyBorder="1"/>
    <xf numFmtId="0" fontId="0" fillId="0" borderId="3" xfId="0" applyBorder="1"/>
    <xf numFmtId="169" fontId="0" fillId="0" borderId="0" xfId="0" applyNumberFormat="1" applyBorder="1"/>
    <xf numFmtId="169" fontId="0" fillId="0" borderId="9" xfId="0" applyNumberFormat="1" applyBorder="1"/>
    <xf numFmtId="0" fontId="0" fillId="3" borderId="11" xfId="0" applyFill="1" applyBorder="1"/>
    <xf numFmtId="0" fontId="0" fillId="0" borderId="30" xfId="0" applyBorder="1"/>
    <xf numFmtId="0" fontId="0" fillId="0" borderId="31" xfId="0" applyBorder="1" applyAlignment="1"/>
    <xf numFmtId="0" fontId="0" fillId="0" borderId="23" xfId="0" applyBorder="1" applyAlignment="1"/>
    <xf numFmtId="169" fontId="0" fillId="0" borderId="31" xfId="0" applyNumberFormat="1" applyBorder="1"/>
    <xf numFmtId="0" fontId="0" fillId="0" borderId="23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165" fontId="0" fillId="0" borderId="2" xfId="0" applyNumberFormat="1" applyBorder="1"/>
    <xf numFmtId="0" fontId="0" fillId="3" borderId="3" xfId="0" applyFill="1" applyBorder="1"/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169" fontId="0" fillId="0" borderId="35" xfId="0" applyNumberFormat="1" applyBorder="1"/>
    <xf numFmtId="169" fontId="0" fillId="0" borderId="36" xfId="0" applyNumberFormat="1" applyBorder="1"/>
    <xf numFmtId="169" fontId="0" fillId="0" borderId="37" xfId="0" applyNumberFormat="1" applyBorder="1"/>
    <xf numFmtId="170" fontId="0" fillId="0" borderId="0" xfId="0" applyNumberFormat="1"/>
    <xf numFmtId="170" fontId="0" fillId="0" borderId="0" xfId="2" applyNumberFormat="1" applyFont="1"/>
    <xf numFmtId="170" fontId="0" fillId="0" borderId="0" xfId="0" applyNumberFormat="1" applyAlignment="1">
      <alignment wrapText="1"/>
    </xf>
    <xf numFmtId="170" fontId="0" fillId="0" borderId="0" xfId="2" applyNumberFormat="1" applyFont="1" applyAlignment="1">
      <alignment wrapText="1"/>
    </xf>
    <xf numFmtId="170" fontId="0" fillId="0" borderId="0" xfId="0" applyNumberFormat="1" applyProtection="1">
      <protection locked="0"/>
    </xf>
    <xf numFmtId="7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2" borderId="41" xfId="0" applyFill="1" applyBorder="1"/>
    <xf numFmtId="165" fontId="0" fillId="5" borderId="6" xfId="4" applyNumberFormat="1" applyFont="1" applyFill="1" applyBorder="1" applyAlignment="1" applyProtection="1">
      <alignment horizontal="center"/>
      <protection locked="0"/>
    </xf>
    <xf numFmtId="168" fontId="0" fillId="8" borderId="6" xfId="4" applyFont="1" applyFill="1" applyBorder="1" applyAlignment="1" applyProtection="1">
      <alignment horizontal="center"/>
      <protection locked="0"/>
    </xf>
    <xf numFmtId="0" fontId="0" fillId="8" borderId="30" xfId="0" applyFill="1" applyBorder="1" applyAlignment="1">
      <alignment horizontal="center"/>
    </xf>
    <xf numFmtId="0" fontId="0" fillId="8" borderId="42" xfId="0" applyFill="1" applyBorder="1" applyAlignment="1" applyProtection="1">
      <alignment horizontal="center"/>
      <protection locked="0"/>
    </xf>
    <xf numFmtId="0" fontId="0" fillId="9" borderId="0" xfId="0" applyNumberFormat="1" applyFill="1"/>
    <xf numFmtId="0" fontId="0" fillId="4" borderId="0" xfId="0" applyNumberForma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Border="1"/>
    <xf numFmtId="0" fontId="0" fillId="10" borderId="0" xfId="0" applyFill="1"/>
    <xf numFmtId="0" fontId="0" fillId="3" borderId="0" xfId="0" applyFill="1" applyBorder="1" applyAlignment="1">
      <alignment horizontal="right"/>
    </xf>
    <xf numFmtId="0" fontId="0" fillId="4" borderId="0" xfId="0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7" fontId="0" fillId="4" borderId="0" xfId="0" applyNumberFormat="1" applyFill="1"/>
    <xf numFmtId="7" fontId="0" fillId="9" borderId="0" xfId="0" applyNumberFormat="1" applyFill="1"/>
    <xf numFmtId="0" fontId="2" fillId="4" borderId="0" xfId="0" applyFont="1" applyFill="1" applyAlignment="1">
      <alignment horizontal="centerContinuous"/>
    </xf>
    <xf numFmtId="171" fontId="2" fillId="3" borderId="0" xfId="0" applyNumberFormat="1" applyFont="1" applyFill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Border="1"/>
    <xf numFmtId="0" fontId="5" fillId="3" borderId="0" xfId="0" applyFont="1" applyFill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165" fontId="0" fillId="8" borderId="28" xfId="3" applyNumberFormat="1" applyFont="1" applyFill="1" applyBorder="1" applyAlignment="1" applyProtection="1">
      <alignment horizontal="center"/>
      <protection locked="0"/>
    </xf>
    <xf numFmtId="0" fontId="0" fillId="0" borderId="44" xfId="0" applyBorder="1"/>
    <xf numFmtId="0" fontId="0" fillId="2" borderId="45" xfId="0" applyFill="1" applyBorder="1" applyAlignment="1">
      <alignment horizontal="center" wrapText="1"/>
    </xf>
    <xf numFmtId="0" fontId="0" fillId="2" borderId="47" xfId="0" applyFill="1" applyBorder="1"/>
    <xf numFmtId="165" fontId="0" fillId="8" borderId="48" xfId="3" applyNumberFormat="1" applyFont="1" applyFill="1" applyBorder="1" applyAlignment="1" applyProtection="1">
      <alignment horizontal="center"/>
      <protection locked="0"/>
    </xf>
    <xf numFmtId="167" fontId="0" fillId="8" borderId="48" xfId="3" applyFont="1" applyFill="1" applyBorder="1" applyAlignment="1" applyProtection="1">
      <alignment horizontal="center"/>
      <protection locked="0"/>
    </xf>
    <xf numFmtId="0" fontId="0" fillId="8" borderId="43" xfId="0" applyFill="1" applyBorder="1" applyAlignment="1">
      <alignment horizontal="center"/>
    </xf>
    <xf numFmtId="0" fontId="0" fillId="8" borderId="49" xfId="0" applyFill="1" applyBorder="1" applyAlignment="1" applyProtection="1">
      <alignment horizontal="center"/>
      <protection locked="0"/>
    </xf>
    <xf numFmtId="165" fontId="0" fillId="12" borderId="8" xfId="4" applyNumberFormat="1" applyFont="1" applyFill="1" applyBorder="1" applyAlignment="1" applyProtection="1">
      <alignment horizontal="center"/>
      <protection locked="0"/>
    </xf>
    <xf numFmtId="165" fontId="0" fillId="12" borderId="30" xfId="4" applyNumberFormat="1" applyFont="1" applyFill="1" applyBorder="1" applyAlignment="1" applyProtection="1">
      <alignment horizontal="center"/>
      <protection locked="0"/>
    </xf>
    <xf numFmtId="165" fontId="0" fillId="12" borderId="20" xfId="3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0" fillId="12" borderId="46" xfId="0" applyNumberFormat="1" applyFill="1" applyBorder="1"/>
    <xf numFmtId="0" fontId="0" fillId="12" borderId="50" xfId="0" applyNumberFormat="1" applyFill="1" applyBorder="1"/>
    <xf numFmtId="0" fontId="0" fillId="12" borderId="8" xfId="0" applyNumberFormat="1" applyFill="1" applyBorder="1"/>
    <xf numFmtId="0" fontId="0" fillId="12" borderId="51" xfId="0" applyNumberFormat="1" applyFill="1" applyBorder="1"/>
    <xf numFmtId="0" fontId="0" fillId="0" borderId="52" xfId="0" applyBorder="1" applyAlignment="1">
      <alignment horizontal="centerContinuous"/>
    </xf>
    <xf numFmtId="0" fontId="0" fillId="2" borderId="27" xfId="0" applyFill="1" applyBorder="1" applyAlignment="1">
      <alignment horizontal="center" wrapText="1"/>
    </xf>
    <xf numFmtId="168" fontId="0" fillId="8" borderId="22" xfId="4" applyFont="1" applyFill="1" applyBorder="1" applyAlignment="1" applyProtection="1">
      <alignment horizontal="center"/>
      <protection locked="0"/>
    </xf>
    <xf numFmtId="168" fontId="0" fillId="8" borderId="41" xfId="4" applyFont="1" applyFill="1" applyBorder="1" applyAlignment="1" applyProtection="1">
      <alignment horizontal="center"/>
      <protection locked="0"/>
    </xf>
    <xf numFmtId="165" fontId="0" fillId="8" borderId="27" xfId="3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/>
    <xf numFmtId="0" fontId="0" fillId="0" borderId="46" xfId="0" applyNumberFormat="1" applyFill="1" applyBorder="1"/>
    <xf numFmtId="0" fontId="0" fillId="0" borderId="50" xfId="0" applyNumberFormat="1" applyFill="1" applyBorder="1"/>
    <xf numFmtId="0" fontId="0" fillId="0" borderId="22" xfId="0" applyNumberFormat="1" applyFill="1" applyBorder="1"/>
    <xf numFmtId="0" fontId="0" fillId="0" borderId="8" xfId="0" applyNumberFormat="1" applyFill="1" applyBorder="1"/>
    <xf numFmtId="0" fontId="0" fillId="0" borderId="51" xfId="0" applyNumberFormat="1" applyFill="1" applyBorder="1"/>
    <xf numFmtId="165" fontId="0" fillId="11" borderId="43" xfId="3" applyNumberFormat="1" applyFont="1" applyFill="1" applyBorder="1" applyAlignment="1" applyProtection="1">
      <alignment horizontal="center"/>
      <protection locked="0"/>
    </xf>
    <xf numFmtId="165" fontId="0" fillId="11" borderId="48" xfId="3" applyNumberFormat="1" applyFont="1" applyFill="1" applyBorder="1" applyAlignment="1" applyProtection="1">
      <alignment horizontal="center"/>
      <protection locked="0"/>
    </xf>
    <xf numFmtId="167" fontId="0" fillId="11" borderId="48" xfId="3" applyFont="1" applyFill="1" applyBorder="1" applyAlignment="1" applyProtection="1">
      <alignment horizontal="center"/>
      <protection locked="0"/>
    </xf>
    <xf numFmtId="0" fontId="0" fillId="11" borderId="43" xfId="0" applyFill="1" applyBorder="1" applyAlignment="1">
      <alignment horizontal="center"/>
    </xf>
    <xf numFmtId="0" fontId="0" fillId="11" borderId="49" xfId="0" applyFill="1" applyBorder="1" applyAlignment="1" applyProtection="1">
      <alignment horizontal="center"/>
      <protection locked="0"/>
    </xf>
    <xf numFmtId="165" fontId="0" fillId="0" borderId="23" xfId="0" applyNumberFormat="1" applyBorder="1" applyAlignment="1">
      <alignment horizontal="right"/>
    </xf>
    <xf numFmtId="165" fontId="0" fillId="0" borderId="40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38" xfId="0" applyNumberFormat="1" applyBorder="1" applyAlignment="1">
      <alignment horizontal="right"/>
    </xf>
    <xf numFmtId="165" fontId="0" fillId="0" borderId="39" xfId="0" applyNumberFormat="1" applyBorder="1" applyAlignment="1">
      <alignment horizontal="right"/>
    </xf>
    <xf numFmtId="8" fontId="0" fillId="0" borderId="0" xfId="0" applyNumberFormat="1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right" wrapText="1"/>
    </xf>
    <xf numFmtId="164" fontId="0" fillId="0" borderId="0" xfId="0" applyNumberFormat="1" applyAlignment="1">
      <alignment wrapText="1"/>
    </xf>
    <xf numFmtId="7" fontId="0" fillId="5" borderId="3" xfId="0" applyNumberFormat="1" applyFill="1" applyBorder="1" applyAlignment="1" applyProtection="1">
      <alignment horizontal="left"/>
      <protection locked="0"/>
    </xf>
    <xf numFmtId="7" fontId="0" fillId="5" borderId="24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172" fontId="0" fillId="0" borderId="0" xfId="0" applyNumberFormat="1" applyAlignment="1">
      <alignment horizontal="center"/>
    </xf>
    <xf numFmtId="49" fontId="2" fillId="0" borderId="0" xfId="0" applyNumberFormat="1" applyFont="1"/>
    <xf numFmtId="172" fontId="2" fillId="0" borderId="0" xfId="0" applyNumberFormat="1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5" fillId="0" borderId="0" xfId="0" applyFont="1" applyProtection="1"/>
    <xf numFmtId="0" fontId="0" fillId="0" borderId="0" xfId="0" applyProtection="1">
      <protection locked="0"/>
    </xf>
    <xf numFmtId="165" fontId="0" fillId="0" borderId="8" xfId="0" applyNumberFormat="1" applyBorder="1" applyAlignment="1">
      <alignment horizontal="right"/>
    </xf>
    <xf numFmtId="165" fontId="0" fillId="0" borderId="32" xfId="0" applyNumberFormat="1" applyBorder="1" applyAlignment="1">
      <alignment horizontal="right"/>
    </xf>
    <xf numFmtId="165" fontId="0" fillId="0" borderId="33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0" fontId="0" fillId="0" borderId="0" xfId="0" applyAlignment="1" applyProtection="1">
      <alignment vertical="top"/>
      <protection locked="0"/>
    </xf>
  </cellXfs>
  <cellStyles count="5">
    <cellStyle name="Currency" xfId="2" builtinId="4"/>
    <cellStyle name="Dollar" xfId="3"/>
    <cellStyle name="Normal" xfId="0" builtinId="0"/>
    <cellStyle name="Perc" xfId="4"/>
    <cellStyle name="Percent" xfId="1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8</xdr:row>
          <xdr:rowOff>0</xdr:rowOff>
        </xdr:from>
        <xdr:to>
          <xdr:col>2</xdr:col>
          <xdr:colOff>552450</xdr:colOff>
          <xdr:row>9</xdr:row>
          <xdr:rowOff>66675</xdr:rowOff>
        </xdr:to>
        <xdr:sp macro="" textlink="">
          <xdr:nvSpPr>
            <xdr:cNvPr id="36865" name="Button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Single Plan Mode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10</xdr:row>
          <xdr:rowOff>9525</xdr:rowOff>
        </xdr:from>
        <xdr:to>
          <xdr:col>2</xdr:col>
          <xdr:colOff>552450</xdr:colOff>
          <xdr:row>11</xdr:row>
          <xdr:rowOff>76200</xdr:rowOff>
        </xdr:to>
        <xdr:sp macro="" textlink="">
          <xdr:nvSpPr>
            <xdr:cNvPr id="36866" name="Button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Multi-Plan Mode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9525</xdr:rowOff>
        </xdr:from>
        <xdr:to>
          <xdr:col>1</xdr:col>
          <xdr:colOff>638175</xdr:colOff>
          <xdr:row>14</xdr:row>
          <xdr:rowOff>85725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Option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9525</xdr:rowOff>
        </xdr:from>
        <xdr:to>
          <xdr:col>2</xdr:col>
          <xdr:colOff>466725</xdr:colOff>
          <xdr:row>20</xdr:row>
          <xdr:rowOff>85725</xdr:rowOff>
        </xdr:to>
        <xdr:sp macro="" textlink="">
          <xdr:nvSpPr>
            <xdr:cNvPr id="19460" name="Button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Single Plan Mode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1</xdr:col>
          <xdr:colOff>638175</xdr:colOff>
          <xdr:row>16</xdr:row>
          <xdr:rowOff>76200</xdr:rowOff>
        </xdr:to>
        <xdr:sp macro="" textlink="">
          <xdr:nvSpPr>
            <xdr:cNvPr id="19461" name="Button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Option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0</xdr:rowOff>
        </xdr:from>
        <xdr:to>
          <xdr:col>1</xdr:col>
          <xdr:colOff>638175</xdr:colOff>
          <xdr:row>18</xdr:row>
          <xdr:rowOff>76200</xdr:rowOff>
        </xdr:to>
        <xdr:sp macro="" textlink="">
          <xdr:nvSpPr>
            <xdr:cNvPr id="19462" name="Button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Option 3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161925</xdr:rowOff>
        </xdr:from>
        <xdr:to>
          <xdr:col>8</xdr:col>
          <xdr:colOff>571500</xdr:colOff>
          <xdr:row>2</xdr:row>
          <xdr:rowOff>38100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Multi-Plan Mode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2</xdr:row>
          <xdr:rowOff>123825</xdr:rowOff>
        </xdr:from>
        <xdr:to>
          <xdr:col>8</xdr:col>
          <xdr:colOff>571500</xdr:colOff>
          <xdr:row>4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Run Calculator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0</xdr:row>
          <xdr:rowOff>161925</xdr:rowOff>
        </xdr:from>
        <xdr:to>
          <xdr:col>4</xdr:col>
          <xdr:colOff>9525</xdr:colOff>
          <xdr:row>2</xdr:row>
          <xdr:rowOff>38100</xdr:rowOff>
        </xdr:to>
        <xdr:sp macro="" textlink="">
          <xdr:nvSpPr>
            <xdr:cNvPr id="3083" name="Button 3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Prev Plan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0</xdr:row>
          <xdr:rowOff>161925</xdr:rowOff>
        </xdr:from>
        <xdr:to>
          <xdr:col>5</xdr:col>
          <xdr:colOff>704850</xdr:colOff>
          <xdr:row>2</xdr:row>
          <xdr:rowOff>38100</xdr:rowOff>
        </xdr:to>
        <xdr:sp macro="" textlink="">
          <xdr:nvSpPr>
            <xdr:cNvPr id="3084" name="Button 4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Next Plan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133350</xdr:rowOff>
        </xdr:from>
        <xdr:to>
          <xdr:col>4</xdr:col>
          <xdr:colOff>695325</xdr:colOff>
          <xdr:row>4</xdr:row>
          <xdr:rowOff>9525</xdr:rowOff>
        </xdr:to>
        <xdr:sp macro="" textlink="">
          <xdr:nvSpPr>
            <xdr:cNvPr id="3169" name="Button 5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2</xdr:row>
          <xdr:rowOff>133350</xdr:rowOff>
        </xdr:from>
        <xdr:to>
          <xdr:col>5</xdr:col>
          <xdr:colOff>704850</xdr:colOff>
          <xdr:row>4</xdr:row>
          <xdr:rowOff>9525</xdr:rowOff>
        </xdr:to>
        <xdr:sp macro="" textlink="">
          <xdr:nvSpPr>
            <xdr:cNvPr id="3170" name="Button 6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Save 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</xdr:row>
          <xdr:rowOff>133350</xdr:rowOff>
        </xdr:from>
        <xdr:to>
          <xdr:col>3</xdr:col>
          <xdr:colOff>695325</xdr:colOff>
          <xdr:row>4</xdr:row>
          <xdr:rowOff>9525</xdr:rowOff>
        </xdr:to>
        <xdr:sp macro="" textlink="">
          <xdr:nvSpPr>
            <xdr:cNvPr id="3326" name="Button 5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Clear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66675</xdr:rowOff>
        </xdr:from>
        <xdr:to>
          <xdr:col>2</xdr:col>
          <xdr:colOff>581025</xdr:colOff>
          <xdr:row>19</xdr:row>
          <xdr:rowOff>104775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Detail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18</xdr:row>
          <xdr:rowOff>66675</xdr:rowOff>
        </xdr:from>
        <xdr:to>
          <xdr:col>3</xdr:col>
          <xdr:colOff>9525</xdr:colOff>
          <xdr:row>19</xdr:row>
          <xdr:rowOff>104775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Timeline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18</xdr:row>
          <xdr:rowOff>66675</xdr:rowOff>
        </xdr:from>
        <xdr:to>
          <xdr:col>7</xdr:col>
          <xdr:colOff>581025</xdr:colOff>
          <xdr:row>19</xdr:row>
          <xdr:rowOff>104775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Detail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18</xdr:row>
          <xdr:rowOff>66675</xdr:rowOff>
        </xdr:from>
        <xdr:to>
          <xdr:col>8</xdr:col>
          <xdr:colOff>9525</xdr:colOff>
          <xdr:row>19</xdr:row>
          <xdr:rowOff>104775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Timeline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66675</xdr:rowOff>
        </xdr:from>
        <xdr:to>
          <xdr:col>2</xdr:col>
          <xdr:colOff>581025</xdr:colOff>
          <xdr:row>33</xdr:row>
          <xdr:rowOff>104775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Detail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32</xdr:row>
          <xdr:rowOff>66675</xdr:rowOff>
        </xdr:from>
        <xdr:to>
          <xdr:col>3</xdr:col>
          <xdr:colOff>9525</xdr:colOff>
          <xdr:row>33</xdr:row>
          <xdr:rowOff>104775</xdr:rowOff>
        </xdr:to>
        <xdr:sp macro="" textlink="">
          <xdr:nvSpPr>
            <xdr:cNvPr id="4102" name="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Timeline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1295400</xdr:colOff>
          <xdr:row>2</xdr:row>
          <xdr:rowOff>142875</xdr:rowOff>
        </xdr:from>
        <xdr:to>
          <xdr:col>3</xdr:col>
          <xdr:colOff>523875</xdr:colOff>
          <xdr:row>4</xdr:row>
          <xdr:rowOff>19050</xdr:rowOff>
        </xdr:to>
        <xdr:sp macro="" textlink="">
          <xdr:nvSpPr>
            <xdr:cNvPr id="4107" name="Button 3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Prev Plan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2</xdr:row>
          <xdr:rowOff>142875</xdr:rowOff>
        </xdr:from>
        <xdr:to>
          <xdr:col>7</xdr:col>
          <xdr:colOff>695325</xdr:colOff>
          <xdr:row>4</xdr:row>
          <xdr:rowOff>19050</xdr:rowOff>
        </xdr:to>
        <xdr:sp macro="" textlink="">
          <xdr:nvSpPr>
            <xdr:cNvPr id="4108" name="Button 4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Next Plan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171450</xdr:rowOff>
        </xdr:from>
        <xdr:to>
          <xdr:col>2</xdr:col>
          <xdr:colOff>838200</xdr:colOff>
          <xdr:row>2</xdr:row>
          <xdr:rowOff>38100</xdr:rowOff>
        </xdr:to>
        <xdr:sp macro="" textlink="">
          <xdr:nvSpPr>
            <xdr:cNvPr id="4109" name="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View Input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1152525</xdr:colOff>
          <xdr:row>0</xdr:row>
          <xdr:rowOff>171450</xdr:rowOff>
        </xdr:from>
        <xdr:to>
          <xdr:col>10</xdr:col>
          <xdr:colOff>0</xdr:colOff>
          <xdr:row>2</xdr:row>
          <xdr:rowOff>38100</xdr:rowOff>
        </xdr:to>
        <xdr:sp macro="" textlink="">
          <xdr:nvSpPr>
            <xdr:cNvPr id="4110" name="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View Output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</xdr:row>
          <xdr:rowOff>152400</xdr:rowOff>
        </xdr:from>
        <xdr:to>
          <xdr:col>2</xdr:col>
          <xdr:colOff>847725</xdr:colOff>
          <xdr:row>4</xdr:row>
          <xdr:rowOff>19050</xdr:rowOff>
        </xdr:to>
        <xdr:sp macro="" textlink="">
          <xdr:nvSpPr>
            <xdr:cNvPr id="4111" name="Butto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Plan Parameters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1152525</xdr:colOff>
          <xdr:row>2</xdr:row>
          <xdr:rowOff>142875</xdr:rowOff>
        </xdr:from>
        <xdr:to>
          <xdr:col>9</xdr:col>
          <xdr:colOff>304800</xdr:colOff>
          <xdr:row>4</xdr:row>
          <xdr:rowOff>9525</xdr:rowOff>
        </xdr:to>
        <xdr:sp macro="" textlink="">
          <xdr:nvSpPr>
            <xdr:cNvPr id="4112" name="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Export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18</xdr:row>
          <xdr:rowOff>66675</xdr:rowOff>
        </xdr:from>
        <xdr:to>
          <xdr:col>4</xdr:col>
          <xdr:colOff>219075</xdr:colOff>
          <xdr:row>19</xdr:row>
          <xdr:rowOff>104775</xdr:rowOff>
        </xdr:to>
        <xdr:sp macro="" textlink="">
          <xdr:nvSpPr>
            <xdr:cNvPr id="4113" name="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Line Item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18</xdr:row>
          <xdr:rowOff>66675</xdr:rowOff>
        </xdr:from>
        <xdr:to>
          <xdr:col>9</xdr:col>
          <xdr:colOff>219075</xdr:colOff>
          <xdr:row>19</xdr:row>
          <xdr:rowOff>104775</xdr:rowOff>
        </xdr:to>
        <xdr:sp macro="" textlink="">
          <xdr:nvSpPr>
            <xdr:cNvPr id="4114" name="Butto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Line Item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32</xdr:row>
          <xdr:rowOff>66675</xdr:rowOff>
        </xdr:from>
        <xdr:to>
          <xdr:col>4</xdr:col>
          <xdr:colOff>219075</xdr:colOff>
          <xdr:row>33</xdr:row>
          <xdr:rowOff>104775</xdr:rowOff>
        </xdr:to>
        <xdr:sp macro="" textlink="">
          <xdr:nvSpPr>
            <xdr:cNvPr id="4115" name="Butto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Line Item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152400</xdr:rowOff>
        </xdr:from>
        <xdr:to>
          <xdr:col>0</xdr:col>
          <xdr:colOff>1247775</xdr:colOff>
          <xdr:row>2</xdr:row>
          <xdr:rowOff>28575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Run Calculator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152400</xdr:rowOff>
        </xdr:from>
        <xdr:to>
          <xdr:col>0</xdr:col>
          <xdr:colOff>1247775</xdr:colOff>
          <xdr:row>2</xdr:row>
          <xdr:rowOff>28575</xdr:rowOff>
        </xdr:to>
        <xdr:sp macro="" textlink="">
          <xdr:nvSpPr>
            <xdr:cNvPr id="59394" name="Button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Run Calculator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32"/>
  <sheetViews>
    <sheetView workbookViewId="0"/>
  </sheetViews>
  <sheetFormatPr defaultRowHeight="15" x14ac:dyDescent="0.25"/>
  <cols>
    <col min="1" max="1" width="10.7109375" style="188" customWidth="1"/>
    <col min="2" max="2" width="11.7109375" style="199" customWidth="1"/>
    <col min="3" max="3" width="38.7109375" customWidth="1"/>
    <col min="4" max="4" width="24.7109375" customWidth="1"/>
    <col min="5" max="5" width="72.140625" bestFit="1" customWidth="1"/>
  </cols>
  <sheetData>
    <row r="1" spans="1:5" s="2" customFormat="1" x14ac:dyDescent="0.25">
      <c r="A1" s="200" t="s">
        <v>339</v>
      </c>
      <c r="B1" s="201" t="s">
        <v>340</v>
      </c>
      <c r="C1" s="2" t="s">
        <v>341</v>
      </c>
      <c r="D1" s="2" t="s">
        <v>342</v>
      </c>
      <c r="E1" s="2" t="s">
        <v>357</v>
      </c>
    </row>
    <row r="2" spans="1:5" x14ac:dyDescent="0.25">
      <c r="A2" s="188" t="s">
        <v>358</v>
      </c>
      <c r="B2" s="199">
        <v>42331</v>
      </c>
      <c r="C2" t="s">
        <v>343</v>
      </c>
      <c r="D2" t="s">
        <v>344</v>
      </c>
      <c r="E2" t="s">
        <v>352</v>
      </c>
    </row>
    <row r="3" spans="1:5" x14ac:dyDescent="0.25">
      <c r="E3" t="s">
        <v>353</v>
      </c>
    </row>
    <row r="4" spans="1:5" x14ac:dyDescent="0.25">
      <c r="E4" t="s">
        <v>354</v>
      </c>
    </row>
    <row r="5" spans="1:5" x14ac:dyDescent="0.25">
      <c r="D5" t="s">
        <v>345</v>
      </c>
      <c r="E5" t="s">
        <v>355</v>
      </c>
    </row>
    <row r="6" spans="1:5" x14ac:dyDescent="0.25">
      <c r="D6" t="s">
        <v>346</v>
      </c>
      <c r="E6" t="s">
        <v>355</v>
      </c>
    </row>
    <row r="7" spans="1:5" x14ac:dyDescent="0.25">
      <c r="D7" t="s">
        <v>349</v>
      </c>
      <c r="E7" t="s">
        <v>350</v>
      </c>
    </row>
    <row r="8" spans="1:5" x14ac:dyDescent="0.25">
      <c r="D8" t="s">
        <v>347</v>
      </c>
      <c r="E8" t="s">
        <v>348</v>
      </c>
    </row>
    <row r="9" spans="1:5" x14ac:dyDescent="0.25">
      <c r="D9" t="s">
        <v>351</v>
      </c>
      <c r="E9" t="s">
        <v>356</v>
      </c>
    </row>
    <row r="10" spans="1:5" x14ac:dyDescent="0.25">
      <c r="A10" s="188" t="s">
        <v>359</v>
      </c>
      <c r="B10" s="199">
        <v>42332</v>
      </c>
      <c r="C10" t="s">
        <v>360</v>
      </c>
      <c r="D10" t="s">
        <v>361</v>
      </c>
      <c r="E10" t="s">
        <v>362</v>
      </c>
    </row>
    <row r="11" spans="1:5" x14ac:dyDescent="0.25">
      <c r="E11" t="s">
        <v>369</v>
      </c>
    </row>
    <row r="12" spans="1:5" x14ac:dyDescent="0.25">
      <c r="A12" s="188" t="s">
        <v>370</v>
      </c>
      <c r="B12" s="199">
        <v>42332</v>
      </c>
      <c r="C12" t="s">
        <v>375</v>
      </c>
      <c r="D12" t="s">
        <v>374</v>
      </c>
      <c r="E12" t="s">
        <v>376</v>
      </c>
    </row>
    <row r="13" spans="1:5" x14ac:dyDescent="0.25">
      <c r="D13" t="s">
        <v>373</v>
      </c>
      <c r="E13" t="s">
        <v>371</v>
      </c>
    </row>
    <row r="14" spans="1:5" x14ac:dyDescent="0.25">
      <c r="D14" t="s">
        <v>373</v>
      </c>
      <c r="E14" t="s">
        <v>372</v>
      </c>
    </row>
    <row r="15" spans="1:5" x14ac:dyDescent="0.25">
      <c r="A15" s="188" t="s">
        <v>387</v>
      </c>
      <c r="B15" s="199">
        <v>42400</v>
      </c>
      <c r="C15" t="s">
        <v>380</v>
      </c>
      <c r="D15" t="s">
        <v>344</v>
      </c>
      <c r="E15" t="s">
        <v>381</v>
      </c>
    </row>
    <row r="16" spans="1:5" x14ac:dyDescent="0.25">
      <c r="C16" t="s">
        <v>390</v>
      </c>
      <c r="D16" t="s">
        <v>346</v>
      </c>
      <c r="E16" t="s">
        <v>391</v>
      </c>
    </row>
    <row r="17" spans="1:5" x14ac:dyDescent="0.25">
      <c r="D17" t="s">
        <v>345</v>
      </c>
      <c r="E17" t="s">
        <v>391</v>
      </c>
    </row>
    <row r="18" spans="1:5" x14ac:dyDescent="0.25">
      <c r="D18" t="s">
        <v>392</v>
      </c>
      <c r="E18" t="s">
        <v>391</v>
      </c>
    </row>
    <row r="19" spans="1:5" x14ac:dyDescent="0.25">
      <c r="D19" t="s">
        <v>393</v>
      </c>
      <c r="E19" t="s">
        <v>391</v>
      </c>
    </row>
    <row r="20" spans="1:5" x14ac:dyDescent="0.25">
      <c r="D20" t="s">
        <v>394</v>
      </c>
      <c r="E20" t="s">
        <v>391</v>
      </c>
    </row>
    <row r="21" spans="1:5" x14ac:dyDescent="0.25">
      <c r="D21" t="s">
        <v>395</v>
      </c>
      <c r="E21" t="s">
        <v>391</v>
      </c>
    </row>
    <row r="22" spans="1:5" x14ac:dyDescent="0.25">
      <c r="C22" t="s">
        <v>382</v>
      </c>
      <c r="D22" t="s">
        <v>346</v>
      </c>
      <c r="E22" t="s">
        <v>383</v>
      </c>
    </row>
    <row r="23" spans="1:5" x14ac:dyDescent="0.25">
      <c r="E23" t="s">
        <v>384</v>
      </c>
    </row>
    <row r="24" spans="1:5" x14ac:dyDescent="0.25">
      <c r="C24" t="s">
        <v>385</v>
      </c>
      <c r="D24" t="s">
        <v>346</v>
      </c>
      <c r="E24" t="s">
        <v>386</v>
      </c>
    </row>
    <row r="25" spans="1:5" x14ac:dyDescent="0.25">
      <c r="A25" s="188" t="s">
        <v>397</v>
      </c>
      <c r="B25" s="199">
        <v>42419</v>
      </c>
      <c r="C25" t="s">
        <v>407</v>
      </c>
      <c r="D25" t="s">
        <v>361</v>
      </c>
      <c r="E25" t="s">
        <v>409</v>
      </c>
    </row>
    <row r="26" spans="1:5" x14ac:dyDescent="0.25">
      <c r="D26" t="s">
        <v>374</v>
      </c>
      <c r="E26" t="s">
        <v>409</v>
      </c>
    </row>
    <row r="27" spans="1:5" x14ac:dyDescent="0.25">
      <c r="D27" t="s">
        <v>408</v>
      </c>
      <c r="E27" t="s">
        <v>414</v>
      </c>
    </row>
    <row r="28" spans="1:5" x14ac:dyDescent="0.25">
      <c r="C28" t="s">
        <v>410</v>
      </c>
      <c r="D28" t="s">
        <v>408</v>
      </c>
      <c r="E28" t="s">
        <v>411</v>
      </c>
    </row>
    <row r="29" spans="1:5" x14ac:dyDescent="0.25">
      <c r="C29" t="s">
        <v>412</v>
      </c>
      <c r="D29" t="s">
        <v>373</v>
      </c>
      <c r="E29" t="s">
        <v>413</v>
      </c>
    </row>
    <row r="30" spans="1:5" x14ac:dyDescent="0.25">
      <c r="A30" s="188" t="s">
        <v>416</v>
      </c>
      <c r="B30" s="199">
        <v>42422</v>
      </c>
      <c r="C30" t="s">
        <v>417</v>
      </c>
      <c r="D30" t="s">
        <v>408</v>
      </c>
      <c r="E30" t="s">
        <v>418</v>
      </c>
    </row>
    <row r="31" spans="1:5" x14ac:dyDescent="0.25">
      <c r="D31" t="s">
        <v>374</v>
      </c>
      <c r="E31" t="s">
        <v>418</v>
      </c>
    </row>
    <row r="32" spans="1:5" x14ac:dyDescent="0.25">
      <c r="D32" t="s">
        <v>361</v>
      </c>
      <c r="E32" t="s">
        <v>418</v>
      </c>
    </row>
  </sheetData>
  <conditionalFormatting sqref="A1:E1048576">
    <cfRule type="expression" dxfId="20" priority="1">
      <formula>NOT(ISBLANK($A1))</formula>
    </cfRule>
    <cfRule type="expression" dxfId="19" priority="2">
      <formula>NOT(ISBLANK($E1))</formula>
    </cfRule>
    <cfRule type="expression" dxfId="18" priority="3">
      <formula>AND(NOT(ISBLANK($E1)),ISBLANK($E2))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153"/>
  <sheetViews>
    <sheetView workbookViewId="0"/>
  </sheetViews>
  <sheetFormatPr defaultRowHeight="15" x14ac:dyDescent="0.25"/>
  <cols>
    <col min="1" max="1" width="8.7109375" style="1" customWidth="1"/>
    <col min="2" max="2" width="12.7109375" style="10" customWidth="1"/>
    <col min="3" max="3" width="9.7109375" style="10" customWidth="1"/>
    <col min="4" max="4" width="12.7109375" style="13" customWidth="1"/>
    <col min="5" max="5" width="25.7109375" style="55" customWidth="1"/>
    <col min="6" max="6" width="45.28515625" bestFit="1" customWidth="1"/>
    <col min="7" max="7" width="25.7109375" customWidth="1"/>
    <col min="8" max="10" width="12.7109375" style="105" customWidth="1"/>
    <col min="11" max="11" width="12.7109375" style="5" customWidth="1"/>
    <col min="12" max="13" width="12.7109375" customWidth="1"/>
    <col min="14" max="14" width="12.7109375" style="5" customWidth="1"/>
    <col min="15" max="16" width="12.7109375" customWidth="1"/>
    <col min="17" max="17" width="12.7109375" style="8" customWidth="1"/>
    <col min="18" max="18" width="12.7109375" style="16" customWidth="1"/>
    <col min="19" max="20" width="12.7109375" style="8" customWidth="1"/>
    <col min="21" max="21" width="12.7109375" style="5" customWidth="1"/>
    <col min="22" max="23" width="12.7109375" style="8" customWidth="1"/>
    <col min="24" max="24" width="12.7109375" style="5" customWidth="1"/>
    <col min="25" max="26" width="12.7109375" style="8" customWidth="1"/>
    <col min="27" max="27" width="12.7109375" style="5" customWidth="1"/>
    <col min="28" max="29" width="12.7109375" style="8" customWidth="1"/>
    <col min="30" max="30" width="12.7109375" style="5" customWidth="1"/>
    <col min="31" max="32" width="12.7109375" style="8" customWidth="1"/>
    <col min="33" max="33" width="12.7109375" style="5" customWidth="1"/>
    <col min="34" max="35" width="12.7109375" style="8" customWidth="1"/>
    <col min="36" max="36" width="12.7109375" style="24" customWidth="1"/>
    <col min="37" max="38" width="12.7109375" style="8" customWidth="1"/>
    <col min="39" max="39" width="12.7109375" style="183" customWidth="1"/>
    <col min="40" max="40" width="12.7109375" style="8" customWidth="1"/>
    <col min="41" max="41" width="12.7109375" style="54" customWidth="1"/>
    <col min="42" max="42" width="12.7109375" style="8" customWidth="1"/>
    <col min="43" max="48" width="12.7109375" style="106" customWidth="1"/>
    <col min="49" max="50" width="12.7109375" customWidth="1"/>
  </cols>
  <sheetData>
    <row r="1" spans="1:50" x14ac:dyDescent="0.25">
      <c r="H1" s="105" t="s">
        <v>322</v>
      </c>
      <c r="I1" s="105" t="s">
        <v>323</v>
      </c>
      <c r="K1" t="s">
        <v>324</v>
      </c>
      <c r="Q1" s="8" t="s">
        <v>325</v>
      </c>
      <c r="T1" s="8" t="s">
        <v>334</v>
      </c>
      <c r="U1" s="5" t="s">
        <v>326</v>
      </c>
      <c r="X1" s="5" t="s">
        <v>327</v>
      </c>
      <c r="AA1" s="5" t="s">
        <v>328</v>
      </c>
      <c r="AD1" s="5" t="s">
        <v>329</v>
      </c>
      <c r="AG1" s="5" t="s">
        <v>330</v>
      </c>
      <c r="AL1" s="8" t="s">
        <v>331</v>
      </c>
      <c r="AP1" s="8" t="s">
        <v>332</v>
      </c>
      <c r="AR1" s="106" t="s">
        <v>333</v>
      </c>
    </row>
    <row r="2" spans="1:50" ht="75" x14ac:dyDescent="0.25">
      <c r="A2" s="6" t="s">
        <v>10</v>
      </c>
      <c r="B2" s="11" t="s">
        <v>8</v>
      </c>
      <c r="C2" s="11" t="s">
        <v>23</v>
      </c>
      <c r="D2" s="14" t="s">
        <v>21</v>
      </c>
      <c r="E2" s="56" t="s">
        <v>184</v>
      </c>
      <c r="F2" s="7" t="s">
        <v>7</v>
      </c>
      <c r="G2" s="7" t="s">
        <v>17</v>
      </c>
      <c r="H2" s="107" t="s">
        <v>6</v>
      </c>
      <c r="I2" s="107" t="s">
        <v>14</v>
      </c>
      <c r="J2" s="107" t="s">
        <v>13</v>
      </c>
      <c r="K2" s="12" t="s">
        <v>25</v>
      </c>
      <c r="L2" s="7" t="s">
        <v>24</v>
      </c>
      <c r="M2" s="7" t="s">
        <v>335</v>
      </c>
      <c r="N2" s="12" t="s">
        <v>26</v>
      </c>
      <c r="O2" s="7" t="s">
        <v>22</v>
      </c>
      <c r="P2" s="7" t="s">
        <v>336</v>
      </c>
      <c r="Q2" s="185" t="s">
        <v>46</v>
      </c>
      <c r="R2" s="17" t="s">
        <v>27</v>
      </c>
      <c r="S2" s="185" t="s">
        <v>290</v>
      </c>
      <c r="T2" s="185" t="s">
        <v>291</v>
      </c>
      <c r="U2" s="12" t="s">
        <v>194</v>
      </c>
      <c r="V2" s="185" t="s">
        <v>263</v>
      </c>
      <c r="W2" s="185" t="s">
        <v>264</v>
      </c>
      <c r="X2" s="12" t="s">
        <v>195</v>
      </c>
      <c r="Y2" s="185" t="s">
        <v>267</v>
      </c>
      <c r="Z2" s="185" t="s">
        <v>265</v>
      </c>
      <c r="AA2" s="12" t="s">
        <v>294</v>
      </c>
      <c r="AB2" s="185" t="s">
        <v>295</v>
      </c>
      <c r="AC2" s="185" t="s">
        <v>296</v>
      </c>
      <c r="AD2" s="12" t="s">
        <v>297</v>
      </c>
      <c r="AE2" s="185" t="s">
        <v>298</v>
      </c>
      <c r="AF2" s="185" t="s">
        <v>299</v>
      </c>
      <c r="AG2" s="12" t="s">
        <v>269</v>
      </c>
      <c r="AH2" s="185" t="s">
        <v>268</v>
      </c>
      <c r="AI2" s="185" t="s">
        <v>266</v>
      </c>
      <c r="AJ2" s="182" t="s">
        <v>300</v>
      </c>
      <c r="AK2" s="185" t="s">
        <v>185</v>
      </c>
      <c r="AL2" s="185" t="s">
        <v>302</v>
      </c>
      <c r="AM2" s="184" t="s">
        <v>303</v>
      </c>
      <c r="AN2" s="185" t="s">
        <v>304</v>
      </c>
      <c r="AO2" s="185" t="s">
        <v>305</v>
      </c>
      <c r="AP2" s="185" t="s">
        <v>301</v>
      </c>
      <c r="AQ2" s="108" t="s">
        <v>321</v>
      </c>
      <c r="AR2" s="108" t="s">
        <v>14</v>
      </c>
      <c r="AS2" s="108" t="s">
        <v>306</v>
      </c>
      <c r="AT2" s="108" t="s">
        <v>30</v>
      </c>
      <c r="AU2" s="108" t="s">
        <v>31</v>
      </c>
      <c r="AV2" s="108" t="s">
        <v>29</v>
      </c>
      <c r="AW2" s="7" t="s">
        <v>32</v>
      </c>
      <c r="AX2" s="7" t="s">
        <v>307</v>
      </c>
    </row>
    <row r="3" spans="1:50" x14ac:dyDescent="0.25">
      <c r="A3" s="1">
        <v>1</v>
      </c>
      <c r="B3" s="10">
        <v>40546</v>
      </c>
      <c r="C3" s="5">
        <v>1</v>
      </c>
      <c r="D3" s="13">
        <v>25</v>
      </c>
      <c r="E3" s="57" t="str">
        <f t="shared" ref="E3:E34" si="0">VLOOKUP(ServiceCode,DiabetesFeeSchedule,6,FALSE)</f>
        <v>Alcohol swabs (OTC - box of 100)  [usage = 3 wipes/day; 90 wipes/month]</v>
      </c>
      <c r="F3" t="str">
        <f t="shared" ref="F3:F34" si="1">VLOOKUP(ServiceCode,DiabetesFeeSchedule,5,FALSE)</f>
        <v>Over-the-counter Drugs</v>
      </c>
      <c r="G3" t="str">
        <f t="shared" ref="G3:G34" si="2">VLOOKUP(BenefitCategory,BenefitDesignTable,COLUMN(BenefitCostSharing),FALSE)</f>
        <v>Not Covered</v>
      </c>
      <c r="H3" s="109">
        <f t="shared" ref="H3:H34" si="3">VLOOKUP(ServiceCode,DiabetesFeeSchedule,7,FALSE)</f>
        <v>2.6074999999999999</v>
      </c>
      <c r="I3" s="109">
        <f t="shared" ref="I3:I34" si="4">IF(CostSharingType="Not Covered",AllowedAmt,0)</f>
        <v>2.6074999999999999</v>
      </c>
      <c r="J3" s="109">
        <f t="shared" ref="J3:J34" si="5">IF((NotCoveredAmt+AmtExceedMonthLimit+AmtExceedAnnualLimit)&gt;0,0,AllowedAmt)</f>
        <v>0</v>
      </c>
      <c r="K3" s="5" t="str">
        <f t="shared" ref="K3:K34" si="6">VLOOKUP(BenefitCategory,BenefitDesignTable,COLUMN(BenefitLimithMonth),FALSE)</f>
        <v>None</v>
      </c>
      <c r="L3">
        <f t="shared" ref="L3:L34" si="7">COUNTIFS(ServiceCode,ServiceCode,ClaimMonth,ClaimMonth,ClaimNumber,"&lt;"&amp;ClaimNumber)</f>
        <v>0</v>
      </c>
      <c r="M3" s="3">
        <f t="shared" ref="M3:M34" si="8">IF(MonthLimit=0,0,IF(PriorUseMonth&gt;=MonthLimit,AllowedAmt,0))</f>
        <v>0</v>
      </c>
      <c r="N3" s="5" t="str">
        <f t="shared" ref="N3:N34" si="9">VLOOKUP(BenefitCategory,BenefitDesignTable,COLUMN(BenefitLimitAnnual),FALSE)</f>
        <v>None</v>
      </c>
      <c r="O3">
        <f t="shared" ref="O3:O34" si="10">COUNTIFS(ServiceCode,ServiceCode,ClaimNumber,"&lt;"&amp;ClaimNumber)</f>
        <v>0</v>
      </c>
      <c r="P3" s="3">
        <f t="shared" ref="P3:P34" si="11">IF(AnnualLimit=0,0,IF(PriorUseAnnual&gt;=AnnualLimit,AllowedAmt,0))</f>
        <v>0</v>
      </c>
      <c r="Q3" s="8">
        <f t="shared" ref="Q3:Q66" si="12">IF(AmtExceedMonthLimit=0,IF(AmtExceedAnnualLimit=0,VLOOKUP(BenefitCategory,BenefitDesignTable,COLUMN(BenefitCopay),FALSE),0))</f>
        <v>0</v>
      </c>
      <c r="R3" s="16">
        <f t="shared" ref="R3:R66" si="13">VLOOKUP(BenefitCategory,BenefitDesignTable,COLUMN(BenefitCoins),FALSE)</f>
        <v>0</v>
      </c>
      <c r="S3" s="8">
        <f t="shared" ref="S3:S66" si="14">IF(AmtExceedMonthLimit=0,IF(AmtExceedAnnualLimit=0,CoInsRate*CoveredAmt,0))</f>
        <v>0</v>
      </c>
      <c r="T3" s="8">
        <f t="shared" ref="T3:T34" si="15">IF((CoveredAmt-CoPayAmount-CoInsAmount)&lt;0,0,CoveredAmt-CoPayAmount-CoInsAmount)</f>
        <v>0</v>
      </c>
      <c r="U3" s="5" t="b">
        <f t="shared" ref="U3:U66" si="16">VLOOKUP(BenefitCategory,BenefitDesignTable,COLUMN(PlanDeductible),FALSE)&gt;0</f>
        <v>0</v>
      </c>
      <c r="V3" s="8">
        <f t="shared" ref="V3:V34" si="17">MAX(0,VLOOKUP(BenefitCategory,BenefitDesignTable,COLUMN(PlanDeductible),FALSE)-SUMIFS(AllowedAmtAfterCopayCoins,PlanDeductibleApplies,TRUE,ClaimNumber,"&lt;"&amp;ClaimNumber))</f>
        <v>0</v>
      </c>
      <c r="W3" s="8">
        <f t="shared" ref="W3:W34" si="18">IF(AllowedAmtAfterCopayCoins&lt;RemainingPlanDeduc,AllowedAmtAfterCopayCoins,RemainingPlanDeduc)</f>
        <v>0</v>
      </c>
      <c r="X3" s="5" t="b">
        <f t="shared" ref="X3:X66" si="19">VLOOKUP(BenefitCategory,BenefitDesignTable,COLUMN(RxDeductible),FALSE)&gt;0</f>
        <v>0</v>
      </c>
      <c r="Y3" s="8">
        <f t="shared" ref="Y3:Y34" si="20">MAX(0,VLOOKUP(BenefitCategory,BenefitDesignTable,COLUMN(RxDeductible),FALSE)-SUMIFS(AllowedAmtAfterCopayCoins,RxDeductibleApplies,TRUE,ClaimNumber,"&lt;"&amp;ClaimNumber))</f>
        <v>0</v>
      </c>
      <c r="Z3" s="8">
        <f t="shared" ref="Z3:Z34" si="21">IF(AllowedAmtAfterCopayCoins&lt;RemainingRxDeduc,AllowedAmtAfterCopayCoins,RemainingRxDeduc)</f>
        <v>0</v>
      </c>
      <c r="AA3" s="5" t="b">
        <f t="shared" ref="AA3:AA66" si="22">VLOOKUP(BenefitCategory,BenefitDesignTable,COLUMN(OptDeductibleC),FALSE)&gt;0</f>
        <v>0</v>
      </c>
      <c r="AB3" s="8">
        <f t="shared" ref="AB3:AB34" si="23">MAX(0,VLOOKUP(BenefitCategory,BenefitDesignTable,COLUMN(OptDeductibleC),FALSE)-SUMIFS(AllowedAmtAfterCopayCoins,DeductibleCApplies,TRUE,ClaimNumber,"&lt;"&amp;ClaimNumber))</f>
        <v>0</v>
      </c>
      <c r="AC3" s="8">
        <f t="shared" ref="AC3:AC34" si="24">IF(AllowedAmtAfterCopayCoins&lt;RemainingDeductibleC,AllowedAmtAfterCopayCoins,RemainingDeductibleC)</f>
        <v>0</v>
      </c>
      <c r="AD3" s="5" t="b">
        <f t="shared" ref="AD3:AD34" si="25">VLOOKUP(BenefitCategory,BenefitDesignTable,COLUMN(OptDeductibleD),FALSE)&gt;0</f>
        <v>0</v>
      </c>
      <c r="AE3" s="8">
        <f t="shared" ref="AE3:AE34" si="26">MAX(0,VLOOKUP(BenefitCategory,BenefitDesignTable,COLUMN(OptDeductibleD),FALSE)-SUMIFS(AllowedAmtAfterCopayCoins,DeductibleDApplies,TRUE,ClaimNumber,"&lt;"&amp;ClaimNumber))</f>
        <v>0</v>
      </c>
      <c r="AF3" s="8">
        <f t="shared" ref="AF3:AF34" si="27">IF(AllowedAmtAfterCopayCoins&lt;RemainingDeductibleD,AllowedAmtAfterCopayCoins,RemainingDeductibleD)</f>
        <v>0</v>
      </c>
      <c r="AG3" s="5" t="b">
        <f t="shared" ref="AG3:AG66" si="28">VLOOKUP(BenefitCategory,BenefitDesignTable,COLUMN(BenefitDeductible),FALSE)&gt;0</f>
        <v>0</v>
      </c>
      <c r="AH3" s="8">
        <f t="shared" ref="AH3:AH34" si="29">MAX(0,VLOOKUP(BenefitCategory,BenefitDesignTable,COLUMN(BenefitDeductible),FALSE)-SUMIFS(AllowedAmtAfterCopayCoins,BenefitCategory,BenefitCategory,ClaimNumber,"&lt;"&amp;ClaimNumber))</f>
        <v>0</v>
      </c>
      <c r="AI3" s="8">
        <f t="shared" ref="AI3:AI34" si="30">IF(AllowedAmtAfterCopayCoins&lt;RemainingBenefitDeduc,AllowedAmtAfterCopayCoins,RemainingBenefitDeduc)</f>
        <v>0</v>
      </c>
      <c r="AJ3" s="24">
        <f t="shared" ref="AJ3:AJ34" si="31">PlanDeductiblePayment+RxDeductiblePayment+DeductibleCPayment+DeductibleDPayment+BenefitDeductiblePayment</f>
        <v>0</v>
      </c>
      <c r="AK3" s="8">
        <f t="shared" ref="AK3:AK66" si="32">MAX(0,CoveredAmt-PaymentTowardDeductibles)</f>
        <v>0</v>
      </c>
      <c r="AL3" s="8">
        <f t="shared" ref="AL3:AL66" si="33">PaymentTowardDeductibles+CoPayAmount+CoInsAmount</f>
        <v>0</v>
      </c>
      <c r="AM3" s="183" t="b">
        <f t="shared" ref="AM3:AM66" si="34">VLOOKUP(BenefitCategory,BenefitDesignTable,COLUMN(BenefitOOPLimitApplies),FALSE)="Yes"</f>
        <v>0</v>
      </c>
      <c r="AN3" s="8">
        <f t="shared" ref="AN3:AN66" si="35">IF(OPLApplies,SubscriberPaymentBeforeOPL,0)</f>
        <v>0</v>
      </c>
      <c r="AO3" s="54">
        <f t="shared" ref="AO3:AO66" si="36">MAX(0,VLOOKUP(BenefitCategory,BenefitDesignTable,COLUMN(OPLimit),FALSE)-SUMIFS(AmountSubjectToOPL,OPLApplies,TRUE,ClaimNumber,"&lt;"&amp;ClaimNumber))</f>
        <v>0</v>
      </c>
      <c r="AP3" s="8">
        <f t="shared" ref="AP3:AP66" si="37">IF(OPLApplies,IF(SubscriberPaymentBeforeOPL&lt;AmountSubjectToOPL,SubscriberPaymentBeforeOPL,AmountSubjectToOPL),SubscriberPaymentBeforeOPL)</f>
        <v>0</v>
      </c>
      <c r="AQ3" s="106">
        <f>IF((CoveredAmt-SubscriberPaymentAfterOPL)&lt;0,0,CoveredAmt-SubscriberPaymentAfterOPL)</f>
        <v>0</v>
      </c>
      <c r="AR3" s="106">
        <f t="shared" ref="AR3:AR34" si="38">NotCoveredAmt</f>
        <v>2.6074999999999999</v>
      </c>
      <c r="AS3" s="106">
        <f t="shared" ref="AS3:AS34" si="39">AmtExceedMonthLimit+AmtExceedAnnualLimit</f>
        <v>0</v>
      </c>
      <c r="AT3" s="106">
        <f t="shared" ref="AT3:AT34" si="40">IF(CoPayAmount&lt;SubscriberPaymentAfterOPL,CoPayAmount,SubscriberPaymentAfterOPL)</f>
        <v>0</v>
      </c>
      <c r="AU3" s="106">
        <f t="shared" ref="AU3:AU34" si="41">IF(CoInsAmount&lt;SubscriberPaymentAfterOPL,CoInsAmount,SubscriberPaymentAfterOPL)</f>
        <v>0</v>
      </c>
      <c r="AV3" s="106">
        <f t="shared" ref="AV3:AV34" si="42">IF(PaymentTowardDeductibles&lt;(SubscriberPaymentAfterOPL-CoPayAmount-CoInsAmount),(SubscriberPaymentAfterOPL-CoPayAmount-CoInsAmount),PaymentTowardDeductibles)</f>
        <v>0</v>
      </c>
      <c r="AW3" t="b">
        <f t="shared" ref="AW3:AW34" si="43">SUM(AS3:AV3)=AP3</f>
        <v>1</v>
      </c>
      <c r="AX3" t="b">
        <f t="shared" ref="AX3:AX34" si="44">SUM(AQ3:AV3)=H3</f>
        <v>1</v>
      </c>
    </row>
    <row r="4" spans="1:50" x14ac:dyDescent="0.25">
      <c r="A4" s="1">
        <v>2</v>
      </c>
      <c r="B4" s="10">
        <v>40546</v>
      </c>
      <c r="C4" s="5">
        <v>1</v>
      </c>
      <c r="D4" s="13">
        <v>14</v>
      </c>
      <c r="E4" s="57" t="str">
        <f t="shared" si="0"/>
        <v>BD Ultrafine Insulin Syringes / 30G/ 0.5cc  [usage = 30 syringes per month]</v>
      </c>
      <c r="F4" t="str">
        <f t="shared" si="1"/>
        <v>Medical Supplies</v>
      </c>
      <c r="G4" t="str">
        <f t="shared" si="2"/>
        <v>Plan Deductible Only</v>
      </c>
      <c r="H4" s="109">
        <f t="shared" si="3"/>
        <v>42.66</v>
      </c>
      <c r="I4" s="109">
        <f t="shared" si="4"/>
        <v>0</v>
      </c>
      <c r="J4" s="109">
        <f t="shared" si="5"/>
        <v>42.66</v>
      </c>
      <c r="K4" s="5" t="str">
        <f t="shared" si="6"/>
        <v>None</v>
      </c>
      <c r="L4">
        <f t="shared" si="7"/>
        <v>0</v>
      </c>
      <c r="M4" s="3">
        <f t="shared" si="8"/>
        <v>0</v>
      </c>
      <c r="N4" s="5" t="str">
        <f t="shared" si="9"/>
        <v>None</v>
      </c>
      <c r="O4">
        <f t="shared" si="10"/>
        <v>0</v>
      </c>
      <c r="P4" s="3">
        <f t="shared" si="11"/>
        <v>0</v>
      </c>
      <c r="Q4" s="8">
        <f t="shared" si="12"/>
        <v>0</v>
      </c>
      <c r="R4" s="16">
        <f t="shared" si="13"/>
        <v>0</v>
      </c>
      <c r="S4" s="8">
        <f t="shared" si="14"/>
        <v>0</v>
      </c>
      <c r="T4" s="8">
        <f t="shared" si="15"/>
        <v>42.66</v>
      </c>
      <c r="U4" s="5" t="b">
        <f t="shared" si="16"/>
        <v>1</v>
      </c>
      <c r="V4" s="8">
        <f t="shared" si="17"/>
        <v>1000</v>
      </c>
      <c r="W4" s="8">
        <f t="shared" si="18"/>
        <v>42.66</v>
      </c>
      <c r="X4" s="5" t="b">
        <f t="shared" si="19"/>
        <v>0</v>
      </c>
      <c r="Y4" s="8">
        <f t="shared" si="20"/>
        <v>0</v>
      </c>
      <c r="Z4" s="8">
        <f t="shared" si="21"/>
        <v>0</v>
      </c>
      <c r="AA4" s="5" t="b">
        <f t="shared" si="22"/>
        <v>0</v>
      </c>
      <c r="AB4" s="8">
        <f t="shared" si="23"/>
        <v>0</v>
      </c>
      <c r="AC4" s="8">
        <f t="shared" si="24"/>
        <v>0</v>
      </c>
      <c r="AD4" s="5" t="b">
        <f t="shared" si="25"/>
        <v>0</v>
      </c>
      <c r="AE4" s="8">
        <f t="shared" si="26"/>
        <v>0</v>
      </c>
      <c r="AF4" s="8">
        <f t="shared" si="27"/>
        <v>0</v>
      </c>
      <c r="AG4" s="5" t="b">
        <f t="shared" si="28"/>
        <v>0</v>
      </c>
      <c r="AH4" s="8">
        <f t="shared" si="29"/>
        <v>0</v>
      </c>
      <c r="AI4" s="8">
        <f t="shared" si="30"/>
        <v>0</v>
      </c>
      <c r="AJ4" s="24">
        <f t="shared" si="31"/>
        <v>42.66</v>
      </c>
      <c r="AK4" s="8">
        <f t="shared" si="32"/>
        <v>0</v>
      </c>
      <c r="AL4" s="8">
        <f t="shared" si="33"/>
        <v>42.66</v>
      </c>
      <c r="AM4" s="183" t="b">
        <f t="shared" si="34"/>
        <v>1</v>
      </c>
      <c r="AN4" s="8">
        <f t="shared" si="35"/>
        <v>42.66</v>
      </c>
      <c r="AO4" s="54">
        <f t="shared" si="36"/>
        <v>5000</v>
      </c>
      <c r="AP4" s="8">
        <f t="shared" si="37"/>
        <v>42.66</v>
      </c>
      <c r="AQ4" s="8">
        <f t="shared" ref="AQ4:AQ35" si="45">IF(CoveredAmt&lt;SubscriberPaymentAfterOPL,0,CoveredAmt-SubscriberPaymentAfterOPL)</f>
        <v>0</v>
      </c>
      <c r="AR4" s="106">
        <f t="shared" si="38"/>
        <v>0</v>
      </c>
      <c r="AS4" s="106">
        <f t="shared" si="39"/>
        <v>0</v>
      </c>
      <c r="AT4" s="106">
        <f t="shared" si="40"/>
        <v>0</v>
      </c>
      <c r="AU4" s="106">
        <f t="shared" si="41"/>
        <v>0</v>
      </c>
      <c r="AV4" s="106">
        <f t="shared" si="42"/>
        <v>42.66</v>
      </c>
      <c r="AW4" t="b">
        <f t="shared" si="43"/>
        <v>1</v>
      </c>
      <c r="AX4" t="b">
        <f t="shared" si="44"/>
        <v>1</v>
      </c>
    </row>
    <row r="5" spans="1:50" x14ac:dyDescent="0.25">
      <c r="A5" s="1">
        <v>3</v>
      </c>
      <c r="B5" s="10">
        <v>40546</v>
      </c>
      <c r="C5" s="5">
        <v>1</v>
      </c>
      <c r="D5" s="13">
        <v>5</v>
      </c>
      <c r="E5" s="57" t="str">
        <f t="shared" si="0"/>
        <v>OneTouch Delica Lancets (100 per box)  [usage = 60 lancets per month]</v>
      </c>
      <c r="F5" t="str">
        <f t="shared" si="1"/>
        <v>Medical Supplies</v>
      </c>
      <c r="G5" t="str">
        <f t="shared" si="2"/>
        <v>Plan Deductible Only</v>
      </c>
      <c r="H5" s="109">
        <f t="shared" si="3"/>
        <v>10.38</v>
      </c>
      <c r="I5" s="109">
        <f t="shared" si="4"/>
        <v>0</v>
      </c>
      <c r="J5" s="109">
        <f t="shared" si="5"/>
        <v>10.38</v>
      </c>
      <c r="K5" s="5" t="str">
        <f t="shared" si="6"/>
        <v>None</v>
      </c>
      <c r="L5">
        <f t="shared" si="7"/>
        <v>0</v>
      </c>
      <c r="M5" s="3">
        <f t="shared" si="8"/>
        <v>0</v>
      </c>
      <c r="N5" s="5" t="str">
        <f t="shared" si="9"/>
        <v>None</v>
      </c>
      <c r="O5">
        <f t="shared" si="10"/>
        <v>0</v>
      </c>
      <c r="P5" s="3">
        <f t="shared" si="11"/>
        <v>0</v>
      </c>
      <c r="Q5" s="8">
        <f t="shared" si="12"/>
        <v>0</v>
      </c>
      <c r="R5" s="16">
        <f t="shared" si="13"/>
        <v>0</v>
      </c>
      <c r="S5" s="8">
        <f t="shared" si="14"/>
        <v>0</v>
      </c>
      <c r="T5" s="8">
        <f t="shared" si="15"/>
        <v>10.38</v>
      </c>
      <c r="U5" s="5" t="b">
        <f t="shared" si="16"/>
        <v>1</v>
      </c>
      <c r="V5" s="8">
        <f t="shared" si="17"/>
        <v>957.34</v>
      </c>
      <c r="W5" s="8">
        <f t="shared" si="18"/>
        <v>10.38</v>
      </c>
      <c r="X5" s="5" t="b">
        <f t="shared" si="19"/>
        <v>0</v>
      </c>
      <c r="Y5" s="8">
        <f t="shared" si="20"/>
        <v>0</v>
      </c>
      <c r="Z5" s="8">
        <f t="shared" si="21"/>
        <v>0</v>
      </c>
      <c r="AA5" s="5" t="b">
        <f t="shared" si="22"/>
        <v>0</v>
      </c>
      <c r="AB5" s="8">
        <f t="shared" si="23"/>
        <v>0</v>
      </c>
      <c r="AC5" s="8">
        <f t="shared" si="24"/>
        <v>0</v>
      </c>
      <c r="AD5" s="5" t="b">
        <f t="shared" si="25"/>
        <v>0</v>
      </c>
      <c r="AE5" s="8">
        <f t="shared" si="26"/>
        <v>0</v>
      </c>
      <c r="AF5" s="8">
        <f t="shared" si="27"/>
        <v>0</v>
      </c>
      <c r="AG5" s="5" t="b">
        <f t="shared" si="28"/>
        <v>0</v>
      </c>
      <c r="AH5" s="8">
        <f t="shared" si="29"/>
        <v>0</v>
      </c>
      <c r="AI5" s="8">
        <f t="shared" si="30"/>
        <v>0</v>
      </c>
      <c r="AJ5" s="24">
        <f t="shared" si="31"/>
        <v>10.38</v>
      </c>
      <c r="AK5" s="8">
        <f t="shared" si="32"/>
        <v>0</v>
      </c>
      <c r="AL5" s="8">
        <f t="shared" si="33"/>
        <v>10.38</v>
      </c>
      <c r="AM5" s="183" t="b">
        <f t="shared" si="34"/>
        <v>1</v>
      </c>
      <c r="AN5" s="8">
        <f t="shared" si="35"/>
        <v>10.38</v>
      </c>
      <c r="AO5" s="54">
        <f t="shared" si="36"/>
        <v>4957.34</v>
      </c>
      <c r="AP5" s="8">
        <f t="shared" si="37"/>
        <v>10.38</v>
      </c>
      <c r="AQ5" s="8">
        <f t="shared" si="45"/>
        <v>0</v>
      </c>
      <c r="AR5" s="106">
        <f t="shared" si="38"/>
        <v>0</v>
      </c>
      <c r="AS5" s="106">
        <f t="shared" si="39"/>
        <v>0</v>
      </c>
      <c r="AT5" s="106">
        <f t="shared" si="40"/>
        <v>0</v>
      </c>
      <c r="AU5" s="106">
        <f t="shared" si="41"/>
        <v>0</v>
      </c>
      <c r="AV5" s="106">
        <f t="shared" si="42"/>
        <v>10.38</v>
      </c>
      <c r="AW5" t="b">
        <f t="shared" si="43"/>
        <v>1</v>
      </c>
      <c r="AX5" t="b">
        <f t="shared" si="44"/>
        <v>1</v>
      </c>
    </row>
    <row r="6" spans="1:50" x14ac:dyDescent="0.25">
      <c r="A6" s="1">
        <v>4</v>
      </c>
      <c r="B6" s="10">
        <v>40546</v>
      </c>
      <c r="C6" s="5">
        <v>1</v>
      </c>
      <c r="D6" s="13">
        <v>3</v>
      </c>
      <c r="E6" s="57" t="str">
        <f t="shared" si="0"/>
        <v xml:space="preserve">OneTouch Delica Lancing Device </v>
      </c>
      <c r="F6" t="str">
        <f t="shared" si="1"/>
        <v>Medical Supplies</v>
      </c>
      <c r="G6" t="str">
        <f t="shared" si="2"/>
        <v>Plan Deductible Only</v>
      </c>
      <c r="H6" s="109">
        <f t="shared" si="3"/>
        <v>16.12</v>
      </c>
      <c r="I6" s="109">
        <f t="shared" si="4"/>
        <v>0</v>
      </c>
      <c r="J6" s="109">
        <f t="shared" si="5"/>
        <v>16.12</v>
      </c>
      <c r="K6" s="5" t="str">
        <f t="shared" si="6"/>
        <v>None</v>
      </c>
      <c r="L6">
        <f t="shared" si="7"/>
        <v>0</v>
      </c>
      <c r="M6" s="3">
        <f t="shared" si="8"/>
        <v>0</v>
      </c>
      <c r="N6" s="5" t="str">
        <f t="shared" si="9"/>
        <v>None</v>
      </c>
      <c r="O6">
        <f t="shared" si="10"/>
        <v>0</v>
      </c>
      <c r="P6" s="3">
        <f t="shared" si="11"/>
        <v>0</v>
      </c>
      <c r="Q6" s="8">
        <f t="shared" si="12"/>
        <v>0</v>
      </c>
      <c r="R6" s="16">
        <f t="shared" si="13"/>
        <v>0</v>
      </c>
      <c r="S6" s="8">
        <f t="shared" si="14"/>
        <v>0</v>
      </c>
      <c r="T6" s="8">
        <f t="shared" si="15"/>
        <v>16.12</v>
      </c>
      <c r="U6" s="5" t="b">
        <f t="shared" si="16"/>
        <v>1</v>
      </c>
      <c r="V6" s="8">
        <f t="shared" si="17"/>
        <v>946.96</v>
      </c>
      <c r="W6" s="8">
        <f t="shared" si="18"/>
        <v>16.12</v>
      </c>
      <c r="X6" s="5" t="b">
        <f t="shared" si="19"/>
        <v>0</v>
      </c>
      <c r="Y6" s="8">
        <f t="shared" si="20"/>
        <v>0</v>
      </c>
      <c r="Z6" s="8">
        <f t="shared" si="21"/>
        <v>0</v>
      </c>
      <c r="AA6" s="5" t="b">
        <f t="shared" si="22"/>
        <v>0</v>
      </c>
      <c r="AB6" s="8">
        <f t="shared" si="23"/>
        <v>0</v>
      </c>
      <c r="AC6" s="8">
        <f t="shared" si="24"/>
        <v>0</v>
      </c>
      <c r="AD6" s="5" t="b">
        <f t="shared" si="25"/>
        <v>0</v>
      </c>
      <c r="AE6" s="8">
        <f t="shared" si="26"/>
        <v>0</v>
      </c>
      <c r="AF6" s="8">
        <f t="shared" si="27"/>
        <v>0</v>
      </c>
      <c r="AG6" s="5" t="b">
        <f t="shared" si="28"/>
        <v>0</v>
      </c>
      <c r="AH6" s="8">
        <f t="shared" si="29"/>
        <v>0</v>
      </c>
      <c r="AI6" s="8">
        <f t="shared" si="30"/>
        <v>0</v>
      </c>
      <c r="AJ6" s="24">
        <f t="shared" si="31"/>
        <v>16.12</v>
      </c>
      <c r="AK6" s="8">
        <f t="shared" si="32"/>
        <v>0</v>
      </c>
      <c r="AL6" s="8">
        <f t="shared" si="33"/>
        <v>16.12</v>
      </c>
      <c r="AM6" s="183" t="b">
        <f t="shared" si="34"/>
        <v>1</v>
      </c>
      <c r="AN6" s="8">
        <f t="shared" si="35"/>
        <v>16.12</v>
      </c>
      <c r="AO6" s="54">
        <f t="shared" si="36"/>
        <v>4946.96</v>
      </c>
      <c r="AP6" s="8">
        <f t="shared" si="37"/>
        <v>16.12</v>
      </c>
      <c r="AQ6" s="8">
        <f t="shared" si="45"/>
        <v>0</v>
      </c>
      <c r="AR6" s="106">
        <f t="shared" si="38"/>
        <v>0</v>
      </c>
      <c r="AS6" s="106">
        <f t="shared" si="39"/>
        <v>0</v>
      </c>
      <c r="AT6" s="106">
        <f t="shared" si="40"/>
        <v>0</v>
      </c>
      <c r="AU6" s="106">
        <f t="shared" si="41"/>
        <v>0</v>
      </c>
      <c r="AV6" s="106">
        <f t="shared" si="42"/>
        <v>16.12</v>
      </c>
      <c r="AW6" t="b">
        <f t="shared" si="43"/>
        <v>1</v>
      </c>
      <c r="AX6" t="b">
        <f t="shared" si="44"/>
        <v>1</v>
      </c>
    </row>
    <row r="7" spans="1:50" x14ac:dyDescent="0.25">
      <c r="A7" s="1">
        <v>5</v>
      </c>
      <c r="B7" s="10">
        <v>40546</v>
      </c>
      <c r="C7" s="5">
        <v>1</v>
      </c>
      <c r="D7" s="13">
        <v>7</v>
      </c>
      <c r="E7" s="57" t="str">
        <f t="shared" si="0"/>
        <v>OneTouch Ultra 2 Blood Glucose Meter Kit</v>
      </c>
      <c r="F7" t="str">
        <f t="shared" si="1"/>
        <v>Medical Supplies</v>
      </c>
      <c r="G7" t="str">
        <f t="shared" si="2"/>
        <v>Plan Deductible Only</v>
      </c>
      <c r="H7" s="109">
        <f t="shared" si="3"/>
        <v>56.9</v>
      </c>
      <c r="I7" s="109">
        <f t="shared" si="4"/>
        <v>0</v>
      </c>
      <c r="J7" s="109">
        <f t="shared" si="5"/>
        <v>56.9</v>
      </c>
      <c r="K7" s="5" t="str">
        <f t="shared" si="6"/>
        <v>None</v>
      </c>
      <c r="L7">
        <f t="shared" si="7"/>
        <v>0</v>
      </c>
      <c r="M7" s="3">
        <f t="shared" si="8"/>
        <v>0</v>
      </c>
      <c r="N7" s="5" t="str">
        <f t="shared" si="9"/>
        <v>None</v>
      </c>
      <c r="O7">
        <f t="shared" si="10"/>
        <v>0</v>
      </c>
      <c r="P7" s="3">
        <f t="shared" si="11"/>
        <v>0</v>
      </c>
      <c r="Q7" s="8">
        <f t="shared" si="12"/>
        <v>0</v>
      </c>
      <c r="R7" s="16">
        <f t="shared" si="13"/>
        <v>0</v>
      </c>
      <c r="S7" s="8">
        <f t="shared" si="14"/>
        <v>0</v>
      </c>
      <c r="T7" s="8">
        <f t="shared" si="15"/>
        <v>56.9</v>
      </c>
      <c r="U7" s="5" t="b">
        <f t="shared" si="16"/>
        <v>1</v>
      </c>
      <c r="V7" s="8">
        <f t="shared" si="17"/>
        <v>930.84</v>
      </c>
      <c r="W7" s="8">
        <f t="shared" si="18"/>
        <v>56.9</v>
      </c>
      <c r="X7" s="5" t="b">
        <f t="shared" si="19"/>
        <v>0</v>
      </c>
      <c r="Y7" s="8">
        <f t="shared" si="20"/>
        <v>0</v>
      </c>
      <c r="Z7" s="8">
        <f t="shared" si="21"/>
        <v>0</v>
      </c>
      <c r="AA7" s="5" t="b">
        <f t="shared" si="22"/>
        <v>0</v>
      </c>
      <c r="AB7" s="8">
        <f t="shared" si="23"/>
        <v>0</v>
      </c>
      <c r="AC7" s="8">
        <f t="shared" si="24"/>
        <v>0</v>
      </c>
      <c r="AD7" s="5" t="b">
        <f t="shared" si="25"/>
        <v>0</v>
      </c>
      <c r="AE7" s="8">
        <f t="shared" si="26"/>
        <v>0</v>
      </c>
      <c r="AF7" s="8">
        <f t="shared" si="27"/>
        <v>0</v>
      </c>
      <c r="AG7" s="5" t="b">
        <f t="shared" si="28"/>
        <v>0</v>
      </c>
      <c r="AH7" s="8">
        <f t="shared" si="29"/>
        <v>0</v>
      </c>
      <c r="AI7" s="8">
        <f t="shared" si="30"/>
        <v>0</v>
      </c>
      <c r="AJ7" s="24">
        <f t="shared" si="31"/>
        <v>56.9</v>
      </c>
      <c r="AK7" s="8">
        <f t="shared" si="32"/>
        <v>0</v>
      </c>
      <c r="AL7" s="8">
        <f t="shared" si="33"/>
        <v>56.9</v>
      </c>
      <c r="AM7" s="183" t="b">
        <f t="shared" si="34"/>
        <v>1</v>
      </c>
      <c r="AN7" s="8">
        <f t="shared" si="35"/>
        <v>56.9</v>
      </c>
      <c r="AO7" s="54">
        <f t="shared" si="36"/>
        <v>4930.84</v>
      </c>
      <c r="AP7" s="8">
        <f t="shared" si="37"/>
        <v>56.9</v>
      </c>
      <c r="AQ7" s="8">
        <f t="shared" si="45"/>
        <v>0</v>
      </c>
      <c r="AR7" s="106">
        <f t="shared" si="38"/>
        <v>0</v>
      </c>
      <c r="AS7" s="106">
        <f t="shared" si="39"/>
        <v>0</v>
      </c>
      <c r="AT7" s="106">
        <f t="shared" si="40"/>
        <v>0</v>
      </c>
      <c r="AU7" s="106">
        <f t="shared" si="41"/>
        <v>0</v>
      </c>
      <c r="AV7" s="106">
        <f t="shared" si="42"/>
        <v>56.9</v>
      </c>
      <c r="AW7" t="b">
        <f t="shared" si="43"/>
        <v>1</v>
      </c>
      <c r="AX7" t="b">
        <f t="shared" si="44"/>
        <v>1</v>
      </c>
    </row>
    <row r="8" spans="1:50" x14ac:dyDescent="0.25">
      <c r="A8" s="1">
        <v>6</v>
      </c>
      <c r="B8" s="10">
        <v>40546</v>
      </c>
      <c r="C8" s="5">
        <v>1</v>
      </c>
      <c r="D8" s="13">
        <v>4</v>
      </c>
      <c r="E8" s="57" t="str">
        <f t="shared" si="0"/>
        <v xml:space="preserve">OneTouch Ultra Blue Test Strips (Rx - box of 100) [usage = 2 strips/day; 60 per month] </v>
      </c>
      <c r="F8" t="str">
        <f t="shared" si="1"/>
        <v>Medical Supplies</v>
      </c>
      <c r="G8" t="str">
        <f t="shared" si="2"/>
        <v>Plan Deductible Only</v>
      </c>
      <c r="H8" s="109">
        <f t="shared" si="3"/>
        <v>125.26</v>
      </c>
      <c r="I8" s="109">
        <f t="shared" si="4"/>
        <v>0</v>
      </c>
      <c r="J8" s="109">
        <f t="shared" si="5"/>
        <v>125.26</v>
      </c>
      <c r="K8" s="5" t="str">
        <f t="shared" si="6"/>
        <v>None</v>
      </c>
      <c r="L8">
        <f t="shared" si="7"/>
        <v>0</v>
      </c>
      <c r="M8" s="3">
        <f t="shared" si="8"/>
        <v>0</v>
      </c>
      <c r="N8" s="5" t="str">
        <f t="shared" si="9"/>
        <v>None</v>
      </c>
      <c r="O8">
        <f t="shared" si="10"/>
        <v>0</v>
      </c>
      <c r="P8" s="3">
        <f t="shared" si="11"/>
        <v>0</v>
      </c>
      <c r="Q8" s="8">
        <f t="shared" si="12"/>
        <v>0</v>
      </c>
      <c r="R8" s="16">
        <f t="shared" si="13"/>
        <v>0</v>
      </c>
      <c r="S8" s="8">
        <f t="shared" si="14"/>
        <v>0</v>
      </c>
      <c r="T8" s="8">
        <f t="shared" si="15"/>
        <v>125.26</v>
      </c>
      <c r="U8" s="5" t="b">
        <f t="shared" si="16"/>
        <v>1</v>
      </c>
      <c r="V8" s="8">
        <f t="shared" si="17"/>
        <v>873.94</v>
      </c>
      <c r="W8" s="8">
        <f t="shared" si="18"/>
        <v>125.26</v>
      </c>
      <c r="X8" s="5" t="b">
        <f t="shared" si="19"/>
        <v>0</v>
      </c>
      <c r="Y8" s="8">
        <f t="shared" si="20"/>
        <v>0</v>
      </c>
      <c r="Z8" s="8">
        <f t="shared" si="21"/>
        <v>0</v>
      </c>
      <c r="AA8" s="5" t="b">
        <f t="shared" si="22"/>
        <v>0</v>
      </c>
      <c r="AB8" s="8">
        <f t="shared" si="23"/>
        <v>0</v>
      </c>
      <c r="AC8" s="8">
        <f t="shared" si="24"/>
        <v>0</v>
      </c>
      <c r="AD8" s="5" t="b">
        <f t="shared" si="25"/>
        <v>0</v>
      </c>
      <c r="AE8" s="8">
        <f t="shared" si="26"/>
        <v>0</v>
      </c>
      <c r="AF8" s="8">
        <f t="shared" si="27"/>
        <v>0</v>
      </c>
      <c r="AG8" s="5" t="b">
        <f t="shared" si="28"/>
        <v>0</v>
      </c>
      <c r="AH8" s="8">
        <f t="shared" si="29"/>
        <v>0</v>
      </c>
      <c r="AI8" s="8">
        <f t="shared" si="30"/>
        <v>0</v>
      </c>
      <c r="AJ8" s="24">
        <f t="shared" si="31"/>
        <v>125.26</v>
      </c>
      <c r="AK8" s="8">
        <f t="shared" si="32"/>
        <v>0</v>
      </c>
      <c r="AL8" s="8">
        <f t="shared" si="33"/>
        <v>125.26</v>
      </c>
      <c r="AM8" s="183" t="b">
        <f t="shared" si="34"/>
        <v>1</v>
      </c>
      <c r="AN8" s="8">
        <f t="shared" si="35"/>
        <v>125.26</v>
      </c>
      <c r="AO8" s="54">
        <f t="shared" si="36"/>
        <v>4873.9399999999996</v>
      </c>
      <c r="AP8" s="8">
        <f t="shared" si="37"/>
        <v>125.26</v>
      </c>
      <c r="AQ8" s="8">
        <f t="shared" si="45"/>
        <v>0</v>
      </c>
      <c r="AR8" s="106">
        <f t="shared" si="38"/>
        <v>0</v>
      </c>
      <c r="AS8" s="106">
        <f t="shared" si="39"/>
        <v>0</v>
      </c>
      <c r="AT8" s="106">
        <f t="shared" si="40"/>
        <v>0</v>
      </c>
      <c r="AU8" s="106">
        <f t="shared" si="41"/>
        <v>0</v>
      </c>
      <c r="AV8" s="106">
        <f t="shared" si="42"/>
        <v>125.26</v>
      </c>
      <c r="AW8" t="b">
        <f t="shared" si="43"/>
        <v>1</v>
      </c>
      <c r="AX8" t="b">
        <f t="shared" si="44"/>
        <v>1</v>
      </c>
    </row>
    <row r="9" spans="1:50" x14ac:dyDescent="0.25">
      <c r="A9" s="1">
        <v>7</v>
      </c>
      <c r="B9" s="10">
        <v>40546</v>
      </c>
      <c r="C9" s="5">
        <v>1</v>
      </c>
      <c r="D9" s="13">
        <v>6</v>
      </c>
      <c r="E9" s="57" t="str">
        <f t="shared" si="0"/>
        <v>OneTouch Ultra Control Solution (2 vials/box)</v>
      </c>
      <c r="F9" t="str">
        <f t="shared" si="1"/>
        <v>Medical Supplies</v>
      </c>
      <c r="G9" t="str">
        <f t="shared" si="2"/>
        <v>Plan Deductible Only</v>
      </c>
      <c r="H9" s="109">
        <f t="shared" si="3"/>
        <v>5.07</v>
      </c>
      <c r="I9" s="109">
        <f t="shared" si="4"/>
        <v>0</v>
      </c>
      <c r="J9" s="109">
        <f t="shared" si="5"/>
        <v>5.07</v>
      </c>
      <c r="K9" s="5" t="str">
        <f t="shared" si="6"/>
        <v>None</v>
      </c>
      <c r="L9">
        <f t="shared" si="7"/>
        <v>0</v>
      </c>
      <c r="M9" s="3">
        <f t="shared" si="8"/>
        <v>0</v>
      </c>
      <c r="N9" s="5" t="str">
        <f t="shared" si="9"/>
        <v>None</v>
      </c>
      <c r="O9">
        <f t="shared" si="10"/>
        <v>0</v>
      </c>
      <c r="P9" s="3">
        <f t="shared" si="11"/>
        <v>0</v>
      </c>
      <c r="Q9" s="8">
        <f t="shared" si="12"/>
        <v>0</v>
      </c>
      <c r="R9" s="16">
        <f t="shared" si="13"/>
        <v>0</v>
      </c>
      <c r="S9" s="8">
        <f t="shared" si="14"/>
        <v>0</v>
      </c>
      <c r="T9" s="8">
        <f t="shared" si="15"/>
        <v>5.07</v>
      </c>
      <c r="U9" s="5" t="b">
        <f t="shared" si="16"/>
        <v>1</v>
      </c>
      <c r="V9" s="8">
        <f t="shared" si="17"/>
        <v>748.68000000000006</v>
      </c>
      <c r="W9" s="8">
        <f t="shared" si="18"/>
        <v>5.07</v>
      </c>
      <c r="X9" s="5" t="b">
        <f t="shared" si="19"/>
        <v>0</v>
      </c>
      <c r="Y9" s="8">
        <f t="shared" si="20"/>
        <v>0</v>
      </c>
      <c r="Z9" s="8">
        <f t="shared" si="21"/>
        <v>0</v>
      </c>
      <c r="AA9" s="5" t="b">
        <f t="shared" si="22"/>
        <v>0</v>
      </c>
      <c r="AB9" s="8">
        <f t="shared" si="23"/>
        <v>0</v>
      </c>
      <c r="AC9" s="8">
        <f t="shared" si="24"/>
        <v>0</v>
      </c>
      <c r="AD9" s="5" t="b">
        <f t="shared" si="25"/>
        <v>0</v>
      </c>
      <c r="AE9" s="8">
        <f t="shared" si="26"/>
        <v>0</v>
      </c>
      <c r="AF9" s="8">
        <f t="shared" si="27"/>
        <v>0</v>
      </c>
      <c r="AG9" s="5" t="b">
        <f t="shared" si="28"/>
        <v>0</v>
      </c>
      <c r="AH9" s="8">
        <f t="shared" si="29"/>
        <v>0</v>
      </c>
      <c r="AI9" s="8">
        <f t="shared" si="30"/>
        <v>0</v>
      </c>
      <c r="AJ9" s="24">
        <f t="shared" si="31"/>
        <v>5.07</v>
      </c>
      <c r="AK9" s="8">
        <f t="shared" si="32"/>
        <v>0</v>
      </c>
      <c r="AL9" s="8">
        <f t="shared" si="33"/>
        <v>5.07</v>
      </c>
      <c r="AM9" s="183" t="b">
        <f t="shared" si="34"/>
        <v>1</v>
      </c>
      <c r="AN9" s="8">
        <f t="shared" si="35"/>
        <v>5.07</v>
      </c>
      <c r="AO9" s="54">
        <f t="shared" si="36"/>
        <v>4748.68</v>
      </c>
      <c r="AP9" s="8">
        <f t="shared" si="37"/>
        <v>5.07</v>
      </c>
      <c r="AQ9" s="8">
        <f t="shared" si="45"/>
        <v>0</v>
      </c>
      <c r="AR9" s="106">
        <f t="shared" si="38"/>
        <v>0</v>
      </c>
      <c r="AS9" s="106">
        <f t="shared" si="39"/>
        <v>0</v>
      </c>
      <c r="AT9" s="106">
        <f t="shared" si="40"/>
        <v>0</v>
      </c>
      <c r="AU9" s="106">
        <f t="shared" si="41"/>
        <v>0</v>
      </c>
      <c r="AV9" s="106">
        <f t="shared" si="42"/>
        <v>5.07</v>
      </c>
      <c r="AW9" t="b">
        <f t="shared" si="43"/>
        <v>1</v>
      </c>
      <c r="AX9" t="b">
        <f t="shared" si="44"/>
        <v>1</v>
      </c>
    </row>
    <row r="10" spans="1:50" x14ac:dyDescent="0.25">
      <c r="A10" s="1">
        <v>8</v>
      </c>
      <c r="B10" s="10">
        <v>40546</v>
      </c>
      <c r="C10" s="5">
        <v>1</v>
      </c>
      <c r="D10" s="13">
        <v>26</v>
      </c>
      <c r="E10" s="57" t="str">
        <f t="shared" si="0"/>
        <v>Aspirin 81mg (OTC - bottle 100) [usage = 1 QD; #30 pills per month]</v>
      </c>
      <c r="F10" t="str">
        <f t="shared" si="1"/>
        <v>Over-the-counter Drugs</v>
      </c>
      <c r="G10" t="str">
        <f t="shared" si="2"/>
        <v>Not Covered</v>
      </c>
      <c r="H10" s="109">
        <f t="shared" si="3"/>
        <v>4.2725</v>
      </c>
      <c r="I10" s="109">
        <f t="shared" si="4"/>
        <v>4.2725</v>
      </c>
      <c r="J10" s="109">
        <f t="shared" si="5"/>
        <v>0</v>
      </c>
      <c r="K10" s="5" t="str">
        <f t="shared" si="6"/>
        <v>None</v>
      </c>
      <c r="L10">
        <f t="shared" si="7"/>
        <v>0</v>
      </c>
      <c r="M10" s="3">
        <f t="shared" si="8"/>
        <v>0</v>
      </c>
      <c r="N10" s="5" t="str">
        <f t="shared" si="9"/>
        <v>None</v>
      </c>
      <c r="O10">
        <f t="shared" si="10"/>
        <v>0</v>
      </c>
      <c r="P10" s="3">
        <f t="shared" si="11"/>
        <v>0</v>
      </c>
      <c r="Q10" s="8">
        <f t="shared" si="12"/>
        <v>0</v>
      </c>
      <c r="R10" s="16">
        <f t="shared" si="13"/>
        <v>0</v>
      </c>
      <c r="S10" s="8">
        <f t="shared" si="14"/>
        <v>0</v>
      </c>
      <c r="T10" s="8">
        <f t="shared" si="15"/>
        <v>0</v>
      </c>
      <c r="U10" s="5" t="b">
        <f t="shared" si="16"/>
        <v>0</v>
      </c>
      <c r="V10" s="8">
        <f t="shared" si="17"/>
        <v>0</v>
      </c>
      <c r="W10" s="8">
        <f t="shared" si="18"/>
        <v>0</v>
      </c>
      <c r="X10" s="5" t="b">
        <f t="shared" si="19"/>
        <v>0</v>
      </c>
      <c r="Y10" s="8">
        <f t="shared" si="20"/>
        <v>0</v>
      </c>
      <c r="Z10" s="8">
        <f t="shared" si="21"/>
        <v>0</v>
      </c>
      <c r="AA10" s="5" t="b">
        <f t="shared" si="22"/>
        <v>0</v>
      </c>
      <c r="AB10" s="8">
        <f t="shared" si="23"/>
        <v>0</v>
      </c>
      <c r="AC10" s="8">
        <f t="shared" si="24"/>
        <v>0</v>
      </c>
      <c r="AD10" s="5" t="b">
        <f t="shared" si="25"/>
        <v>0</v>
      </c>
      <c r="AE10" s="8">
        <f t="shared" si="26"/>
        <v>0</v>
      </c>
      <c r="AF10" s="8">
        <f t="shared" si="27"/>
        <v>0</v>
      </c>
      <c r="AG10" s="5" t="b">
        <f t="shared" si="28"/>
        <v>0</v>
      </c>
      <c r="AH10" s="8">
        <f t="shared" si="29"/>
        <v>0</v>
      </c>
      <c r="AI10" s="8">
        <f t="shared" si="30"/>
        <v>0</v>
      </c>
      <c r="AJ10" s="24">
        <f t="shared" si="31"/>
        <v>0</v>
      </c>
      <c r="AK10" s="8">
        <f t="shared" si="32"/>
        <v>0</v>
      </c>
      <c r="AL10" s="8">
        <f t="shared" si="33"/>
        <v>0</v>
      </c>
      <c r="AM10" s="183" t="b">
        <f t="shared" si="34"/>
        <v>0</v>
      </c>
      <c r="AN10" s="8">
        <f t="shared" si="35"/>
        <v>0</v>
      </c>
      <c r="AO10" s="54">
        <f t="shared" si="36"/>
        <v>0</v>
      </c>
      <c r="AP10" s="8">
        <f t="shared" si="37"/>
        <v>0</v>
      </c>
      <c r="AQ10" s="8">
        <f t="shared" si="45"/>
        <v>0</v>
      </c>
      <c r="AR10" s="106">
        <f t="shared" si="38"/>
        <v>4.2725</v>
      </c>
      <c r="AS10" s="106">
        <f t="shared" si="39"/>
        <v>0</v>
      </c>
      <c r="AT10" s="106">
        <f t="shared" si="40"/>
        <v>0</v>
      </c>
      <c r="AU10" s="106">
        <f t="shared" si="41"/>
        <v>0</v>
      </c>
      <c r="AV10" s="106">
        <f t="shared" si="42"/>
        <v>0</v>
      </c>
      <c r="AW10" t="b">
        <f t="shared" si="43"/>
        <v>1</v>
      </c>
      <c r="AX10" t="b">
        <f t="shared" si="44"/>
        <v>1</v>
      </c>
    </row>
    <row r="11" spans="1:50" x14ac:dyDescent="0.25">
      <c r="A11" s="1">
        <v>9</v>
      </c>
      <c r="B11" s="10">
        <v>40546</v>
      </c>
      <c r="C11" s="5">
        <v>1</v>
      </c>
      <c r="D11" s="13">
        <v>1</v>
      </c>
      <c r="E11" s="57" t="str">
        <f t="shared" si="0"/>
        <v>Glucagon Emergency Kit</v>
      </c>
      <c r="F11" t="str">
        <f t="shared" si="1"/>
        <v>Prescription Drugs: Generic</v>
      </c>
      <c r="G11" t="str">
        <f t="shared" si="2"/>
        <v>Rx Deductible+Co-pay</v>
      </c>
      <c r="H11" s="109">
        <f t="shared" si="3"/>
        <v>246.17</v>
      </c>
      <c r="I11" s="109">
        <f t="shared" si="4"/>
        <v>0</v>
      </c>
      <c r="J11" s="109">
        <f t="shared" si="5"/>
        <v>246.17</v>
      </c>
      <c r="K11" s="5" t="str">
        <f t="shared" si="6"/>
        <v>None</v>
      </c>
      <c r="L11">
        <f t="shared" si="7"/>
        <v>0</v>
      </c>
      <c r="M11" s="3">
        <f t="shared" si="8"/>
        <v>0</v>
      </c>
      <c r="N11" s="5" t="str">
        <f t="shared" si="9"/>
        <v>None</v>
      </c>
      <c r="O11">
        <f t="shared" si="10"/>
        <v>0</v>
      </c>
      <c r="P11" s="3">
        <f t="shared" si="11"/>
        <v>0</v>
      </c>
      <c r="Q11" s="8">
        <f t="shared" si="12"/>
        <v>10</v>
      </c>
      <c r="R11" s="16">
        <f t="shared" si="13"/>
        <v>0</v>
      </c>
      <c r="S11" s="8">
        <f t="shared" si="14"/>
        <v>0</v>
      </c>
      <c r="T11" s="8">
        <f t="shared" si="15"/>
        <v>236.17</v>
      </c>
      <c r="U11" s="5" t="b">
        <f t="shared" si="16"/>
        <v>0</v>
      </c>
      <c r="V11" s="8">
        <f t="shared" si="17"/>
        <v>0</v>
      </c>
      <c r="W11" s="8">
        <f t="shared" si="18"/>
        <v>0</v>
      </c>
      <c r="X11" s="5" t="b">
        <f t="shared" si="19"/>
        <v>1</v>
      </c>
      <c r="Y11" s="8">
        <f t="shared" si="20"/>
        <v>100</v>
      </c>
      <c r="Z11" s="8">
        <f t="shared" si="21"/>
        <v>100</v>
      </c>
      <c r="AA11" s="5" t="b">
        <f t="shared" si="22"/>
        <v>0</v>
      </c>
      <c r="AB11" s="8">
        <f t="shared" si="23"/>
        <v>0</v>
      </c>
      <c r="AC11" s="8">
        <f t="shared" si="24"/>
        <v>0</v>
      </c>
      <c r="AD11" s="5" t="b">
        <f t="shared" si="25"/>
        <v>0</v>
      </c>
      <c r="AE11" s="8">
        <f t="shared" si="26"/>
        <v>0</v>
      </c>
      <c r="AF11" s="8">
        <f t="shared" si="27"/>
        <v>0</v>
      </c>
      <c r="AG11" s="5" t="b">
        <f t="shared" si="28"/>
        <v>0</v>
      </c>
      <c r="AH11" s="8">
        <f t="shared" si="29"/>
        <v>0</v>
      </c>
      <c r="AI11" s="8">
        <f t="shared" si="30"/>
        <v>0</v>
      </c>
      <c r="AJ11" s="24">
        <f t="shared" si="31"/>
        <v>100</v>
      </c>
      <c r="AK11" s="8">
        <f t="shared" si="32"/>
        <v>146.16999999999999</v>
      </c>
      <c r="AL11" s="8">
        <f t="shared" si="33"/>
        <v>110</v>
      </c>
      <c r="AM11" s="183" t="b">
        <f t="shared" si="34"/>
        <v>1</v>
      </c>
      <c r="AN11" s="8">
        <f t="shared" si="35"/>
        <v>110</v>
      </c>
      <c r="AO11" s="54">
        <f t="shared" si="36"/>
        <v>4743.6099999999997</v>
      </c>
      <c r="AP11" s="8">
        <f t="shared" si="37"/>
        <v>110</v>
      </c>
      <c r="AQ11" s="8">
        <f t="shared" si="45"/>
        <v>136.16999999999999</v>
      </c>
      <c r="AR11" s="106">
        <f t="shared" si="38"/>
        <v>0</v>
      </c>
      <c r="AS11" s="106">
        <f t="shared" si="39"/>
        <v>0</v>
      </c>
      <c r="AT11" s="106">
        <f t="shared" si="40"/>
        <v>10</v>
      </c>
      <c r="AU11" s="106">
        <f t="shared" si="41"/>
        <v>0</v>
      </c>
      <c r="AV11" s="106">
        <f t="shared" si="42"/>
        <v>100</v>
      </c>
      <c r="AW11" t="b">
        <f t="shared" si="43"/>
        <v>1</v>
      </c>
      <c r="AX11" t="b">
        <f t="shared" si="44"/>
        <v>1</v>
      </c>
    </row>
    <row r="12" spans="1:50" x14ac:dyDescent="0.25">
      <c r="A12" s="1">
        <v>10</v>
      </c>
      <c r="B12" s="10">
        <v>40546</v>
      </c>
      <c r="C12" s="5">
        <v>1</v>
      </c>
      <c r="D12" s="13">
        <v>17</v>
      </c>
      <c r="E12" s="57" t="str">
        <f t="shared" si="0"/>
        <v>Insulin glargine 100 unit/ml injectable solution (Rx - 10ml vial)  [20 units QD; expires 28 days after first use]</v>
      </c>
      <c r="F12" t="str">
        <f t="shared" si="1"/>
        <v>Prescription Drugs: Branded</v>
      </c>
      <c r="G12" t="str">
        <f t="shared" si="2"/>
        <v>Rx Deductible+Co-pay</v>
      </c>
      <c r="H12" s="109">
        <f t="shared" si="3"/>
        <v>275.51</v>
      </c>
      <c r="I12" s="109">
        <f t="shared" si="4"/>
        <v>0</v>
      </c>
      <c r="J12" s="109">
        <f t="shared" si="5"/>
        <v>275.51</v>
      </c>
      <c r="K12" s="5" t="str">
        <f t="shared" si="6"/>
        <v>None</v>
      </c>
      <c r="L12">
        <f t="shared" si="7"/>
        <v>0</v>
      </c>
      <c r="M12" s="3">
        <f t="shared" si="8"/>
        <v>0</v>
      </c>
      <c r="N12" s="5" t="str">
        <f t="shared" si="9"/>
        <v>None</v>
      </c>
      <c r="O12">
        <f t="shared" si="10"/>
        <v>0</v>
      </c>
      <c r="P12" s="3">
        <f t="shared" si="11"/>
        <v>0</v>
      </c>
      <c r="Q12" s="8">
        <f t="shared" si="12"/>
        <v>30</v>
      </c>
      <c r="R12" s="16">
        <f t="shared" si="13"/>
        <v>0</v>
      </c>
      <c r="S12" s="8">
        <f t="shared" si="14"/>
        <v>0</v>
      </c>
      <c r="T12" s="8">
        <f t="shared" si="15"/>
        <v>245.51</v>
      </c>
      <c r="U12" s="5" t="b">
        <f t="shared" si="16"/>
        <v>0</v>
      </c>
      <c r="V12" s="8">
        <f t="shared" si="17"/>
        <v>0</v>
      </c>
      <c r="W12" s="8">
        <f t="shared" si="18"/>
        <v>0</v>
      </c>
      <c r="X12" s="5" t="b">
        <f t="shared" si="19"/>
        <v>1</v>
      </c>
      <c r="Y12" s="8">
        <f t="shared" si="20"/>
        <v>0</v>
      </c>
      <c r="Z12" s="8">
        <f t="shared" si="21"/>
        <v>0</v>
      </c>
      <c r="AA12" s="5" t="b">
        <f t="shared" si="22"/>
        <v>0</v>
      </c>
      <c r="AB12" s="8">
        <f t="shared" si="23"/>
        <v>0</v>
      </c>
      <c r="AC12" s="8">
        <f t="shared" si="24"/>
        <v>0</v>
      </c>
      <c r="AD12" s="5" t="b">
        <f t="shared" si="25"/>
        <v>0</v>
      </c>
      <c r="AE12" s="8">
        <f t="shared" si="26"/>
        <v>0</v>
      </c>
      <c r="AF12" s="8">
        <f t="shared" si="27"/>
        <v>0</v>
      </c>
      <c r="AG12" s="5" t="b">
        <f t="shared" si="28"/>
        <v>0</v>
      </c>
      <c r="AH12" s="8">
        <f t="shared" si="29"/>
        <v>0</v>
      </c>
      <c r="AI12" s="8">
        <f t="shared" si="30"/>
        <v>0</v>
      </c>
      <c r="AJ12" s="24">
        <f t="shared" si="31"/>
        <v>0</v>
      </c>
      <c r="AK12" s="8">
        <f t="shared" si="32"/>
        <v>275.51</v>
      </c>
      <c r="AL12" s="8">
        <f t="shared" si="33"/>
        <v>30</v>
      </c>
      <c r="AM12" s="183" t="b">
        <f t="shared" si="34"/>
        <v>1</v>
      </c>
      <c r="AN12" s="8">
        <f t="shared" si="35"/>
        <v>30</v>
      </c>
      <c r="AO12" s="54">
        <f t="shared" si="36"/>
        <v>4633.6099999999997</v>
      </c>
      <c r="AP12" s="8">
        <f t="shared" si="37"/>
        <v>30</v>
      </c>
      <c r="AQ12" s="8">
        <f t="shared" si="45"/>
        <v>245.51</v>
      </c>
      <c r="AR12" s="106">
        <f t="shared" si="38"/>
        <v>0</v>
      </c>
      <c r="AS12" s="106">
        <f t="shared" si="39"/>
        <v>0</v>
      </c>
      <c r="AT12" s="106">
        <f t="shared" si="40"/>
        <v>30</v>
      </c>
      <c r="AU12" s="106">
        <f t="shared" si="41"/>
        <v>0</v>
      </c>
      <c r="AV12" s="106">
        <f t="shared" si="42"/>
        <v>0</v>
      </c>
      <c r="AW12" t="b">
        <f t="shared" si="43"/>
        <v>1</v>
      </c>
      <c r="AX12" t="b">
        <f t="shared" si="44"/>
        <v>1</v>
      </c>
    </row>
    <row r="13" spans="1:50" x14ac:dyDescent="0.25">
      <c r="A13" s="1">
        <v>11</v>
      </c>
      <c r="B13" s="10">
        <v>40546</v>
      </c>
      <c r="C13" s="5">
        <v>1</v>
      </c>
      <c r="D13" s="13">
        <v>32</v>
      </c>
      <c r="E13" s="57" t="str">
        <f t="shared" si="0"/>
        <v>METFORMIN HCL 850 MG TABLET</v>
      </c>
      <c r="F13" t="str">
        <f t="shared" si="1"/>
        <v>Prescription Drugs: Generic</v>
      </c>
      <c r="G13" t="str">
        <f t="shared" si="2"/>
        <v>Rx Deductible+Co-pay</v>
      </c>
      <c r="H13" s="109">
        <f t="shared" si="3"/>
        <v>9.19</v>
      </c>
      <c r="I13" s="109">
        <f t="shared" si="4"/>
        <v>0</v>
      </c>
      <c r="J13" s="109">
        <f t="shared" si="5"/>
        <v>9.19</v>
      </c>
      <c r="K13" s="5" t="str">
        <f t="shared" si="6"/>
        <v>None</v>
      </c>
      <c r="L13">
        <f t="shared" si="7"/>
        <v>0</v>
      </c>
      <c r="M13" s="3">
        <f t="shared" si="8"/>
        <v>0</v>
      </c>
      <c r="N13" s="5" t="str">
        <f t="shared" si="9"/>
        <v>None</v>
      </c>
      <c r="O13">
        <f t="shared" si="10"/>
        <v>0</v>
      </c>
      <c r="P13" s="3">
        <f t="shared" si="11"/>
        <v>0</v>
      </c>
      <c r="Q13" s="8">
        <f t="shared" si="12"/>
        <v>10</v>
      </c>
      <c r="R13" s="16">
        <f t="shared" si="13"/>
        <v>0</v>
      </c>
      <c r="S13" s="8">
        <f t="shared" si="14"/>
        <v>0</v>
      </c>
      <c r="T13" s="8">
        <f t="shared" si="15"/>
        <v>0</v>
      </c>
      <c r="U13" s="5" t="b">
        <f t="shared" si="16"/>
        <v>0</v>
      </c>
      <c r="V13" s="8">
        <f t="shared" si="17"/>
        <v>0</v>
      </c>
      <c r="W13" s="8">
        <f t="shared" si="18"/>
        <v>0</v>
      </c>
      <c r="X13" s="5" t="b">
        <f t="shared" si="19"/>
        <v>1</v>
      </c>
      <c r="Y13" s="8">
        <f t="shared" si="20"/>
        <v>0</v>
      </c>
      <c r="Z13" s="8">
        <f t="shared" si="21"/>
        <v>0</v>
      </c>
      <c r="AA13" s="5" t="b">
        <f t="shared" si="22"/>
        <v>0</v>
      </c>
      <c r="AB13" s="8">
        <f t="shared" si="23"/>
        <v>0</v>
      </c>
      <c r="AC13" s="8">
        <f t="shared" si="24"/>
        <v>0</v>
      </c>
      <c r="AD13" s="5" t="b">
        <f t="shared" si="25"/>
        <v>0</v>
      </c>
      <c r="AE13" s="8">
        <f t="shared" si="26"/>
        <v>0</v>
      </c>
      <c r="AF13" s="8">
        <f t="shared" si="27"/>
        <v>0</v>
      </c>
      <c r="AG13" s="5" t="b">
        <f t="shared" si="28"/>
        <v>0</v>
      </c>
      <c r="AH13" s="8">
        <f t="shared" si="29"/>
        <v>0</v>
      </c>
      <c r="AI13" s="8">
        <f t="shared" si="30"/>
        <v>0</v>
      </c>
      <c r="AJ13" s="24">
        <f t="shared" si="31"/>
        <v>0</v>
      </c>
      <c r="AK13" s="8">
        <f t="shared" si="32"/>
        <v>9.19</v>
      </c>
      <c r="AL13" s="8">
        <f t="shared" si="33"/>
        <v>10</v>
      </c>
      <c r="AM13" s="183" t="b">
        <f t="shared" si="34"/>
        <v>1</v>
      </c>
      <c r="AN13" s="8">
        <f t="shared" si="35"/>
        <v>10</v>
      </c>
      <c r="AO13" s="54">
        <f t="shared" si="36"/>
        <v>4603.6099999999997</v>
      </c>
      <c r="AP13" s="8">
        <f t="shared" si="37"/>
        <v>10</v>
      </c>
      <c r="AQ13" s="8">
        <f t="shared" si="45"/>
        <v>0</v>
      </c>
      <c r="AR13" s="106">
        <f t="shared" si="38"/>
        <v>0</v>
      </c>
      <c r="AS13" s="106">
        <f t="shared" si="39"/>
        <v>0</v>
      </c>
      <c r="AT13" s="106">
        <f t="shared" si="40"/>
        <v>10</v>
      </c>
      <c r="AU13" s="106">
        <f t="shared" si="41"/>
        <v>0</v>
      </c>
      <c r="AV13" s="106">
        <f t="shared" si="42"/>
        <v>0</v>
      </c>
      <c r="AW13" t="b">
        <f t="shared" si="43"/>
        <v>1</v>
      </c>
      <c r="AX13" t="b">
        <f t="shared" si="44"/>
        <v>0</v>
      </c>
    </row>
    <row r="14" spans="1:50" x14ac:dyDescent="0.25">
      <c r="A14" s="1">
        <v>12</v>
      </c>
      <c r="B14" s="10">
        <v>40546</v>
      </c>
      <c r="C14" s="5">
        <v>1</v>
      </c>
      <c r="D14" s="13">
        <v>19</v>
      </c>
      <c r="E14" s="57" t="str">
        <f t="shared" si="0"/>
        <v>Ramipril 10mg (Rx) [1 QD; #30 pills/month]</v>
      </c>
      <c r="F14" t="str">
        <f t="shared" si="1"/>
        <v>Prescription Drugs: Generic</v>
      </c>
      <c r="G14" t="str">
        <f t="shared" si="2"/>
        <v>Rx Deductible+Co-pay</v>
      </c>
      <c r="H14" s="109">
        <f t="shared" si="3"/>
        <v>15.92</v>
      </c>
      <c r="I14" s="109">
        <f t="shared" si="4"/>
        <v>0</v>
      </c>
      <c r="J14" s="109">
        <f t="shared" si="5"/>
        <v>15.92</v>
      </c>
      <c r="K14" s="5" t="str">
        <f t="shared" si="6"/>
        <v>None</v>
      </c>
      <c r="L14">
        <f t="shared" si="7"/>
        <v>0</v>
      </c>
      <c r="M14" s="3">
        <f t="shared" si="8"/>
        <v>0</v>
      </c>
      <c r="N14" s="5" t="str">
        <f t="shared" si="9"/>
        <v>None</v>
      </c>
      <c r="O14">
        <f t="shared" si="10"/>
        <v>0</v>
      </c>
      <c r="P14" s="3">
        <f t="shared" si="11"/>
        <v>0</v>
      </c>
      <c r="Q14" s="8">
        <f t="shared" si="12"/>
        <v>10</v>
      </c>
      <c r="R14" s="16">
        <f t="shared" si="13"/>
        <v>0</v>
      </c>
      <c r="S14" s="8">
        <f t="shared" si="14"/>
        <v>0</v>
      </c>
      <c r="T14" s="8">
        <f t="shared" si="15"/>
        <v>5.92</v>
      </c>
      <c r="U14" s="5" t="b">
        <f t="shared" si="16"/>
        <v>0</v>
      </c>
      <c r="V14" s="8">
        <f t="shared" si="17"/>
        <v>0</v>
      </c>
      <c r="W14" s="8">
        <f t="shared" si="18"/>
        <v>0</v>
      </c>
      <c r="X14" s="5" t="b">
        <f t="shared" si="19"/>
        <v>1</v>
      </c>
      <c r="Y14" s="8">
        <f t="shared" si="20"/>
        <v>0</v>
      </c>
      <c r="Z14" s="8">
        <f t="shared" si="21"/>
        <v>0</v>
      </c>
      <c r="AA14" s="5" t="b">
        <f t="shared" si="22"/>
        <v>0</v>
      </c>
      <c r="AB14" s="8">
        <f t="shared" si="23"/>
        <v>0</v>
      </c>
      <c r="AC14" s="8">
        <f t="shared" si="24"/>
        <v>0</v>
      </c>
      <c r="AD14" s="5" t="b">
        <f t="shared" si="25"/>
        <v>0</v>
      </c>
      <c r="AE14" s="8">
        <f t="shared" si="26"/>
        <v>0</v>
      </c>
      <c r="AF14" s="8">
        <f t="shared" si="27"/>
        <v>0</v>
      </c>
      <c r="AG14" s="5" t="b">
        <f t="shared" si="28"/>
        <v>0</v>
      </c>
      <c r="AH14" s="8">
        <f t="shared" si="29"/>
        <v>0</v>
      </c>
      <c r="AI14" s="8">
        <f t="shared" si="30"/>
        <v>0</v>
      </c>
      <c r="AJ14" s="24">
        <f t="shared" si="31"/>
        <v>0</v>
      </c>
      <c r="AK14" s="8">
        <f t="shared" si="32"/>
        <v>15.92</v>
      </c>
      <c r="AL14" s="8">
        <f t="shared" si="33"/>
        <v>10</v>
      </c>
      <c r="AM14" s="183" t="b">
        <f t="shared" si="34"/>
        <v>1</v>
      </c>
      <c r="AN14" s="8">
        <f t="shared" si="35"/>
        <v>10</v>
      </c>
      <c r="AO14" s="54">
        <f t="shared" si="36"/>
        <v>4593.6099999999997</v>
      </c>
      <c r="AP14" s="8">
        <f t="shared" si="37"/>
        <v>10</v>
      </c>
      <c r="AQ14" s="8">
        <f t="shared" si="45"/>
        <v>5.92</v>
      </c>
      <c r="AR14" s="106">
        <f t="shared" si="38"/>
        <v>0</v>
      </c>
      <c r="AS14" s="106">
        <f t="shared" si="39"/>
        <v>0</v>
      </c>
      <c r="AT14" s="106">
        <f t="shared" si="40"/>
        <v>10</v>
      </c>
      <c r="AU14" s="106">
        <f t="shared" si="41"/>
        <v>0</v>
      </c>
      <c r="AV14" s="106">
        <f t="shared" si="42"/>
        <v>0</v>
      </c>
      <c r="AW14" t="b">
        <f t="shared" si="43"/>
        <v>1</v>
      </c>
      <c r="AX14" t="b">
        <f t="shared" si="44"/>
        <v>1</v>
      </c>
    </row>
    <row r="15" spans="1:50" x14ac:dyDescent="0.25">
      <c r="A15" s="1">
        <v>13</v>
      </c>
      <c r="B15" s="10">
        <v>40546</v>
      </c>
      <c r="C15" s="5">
        <v>1</v>
      </c>
      <c r="D15" s="13">
        <v>33</v>
      </c>
      <c r="E15" s="57" t="str">
        <f t="shared" si="0"/>
        <v>Atorvastatin 20 MG tablet 90 CT</v>
      </c>
      <c r="F15" t="str">
        <f t="shared" si="1"/>
        <v>Prescription Drugs: Generic</v>
      </c>
      <c r="G15" t="str">
        <f t="shared" si="2"/>
        <v>Rx Deductible+Co-pay</v>
      </c>
      <c r="H15" s="109">
        <f t="shared" si="3"/>
        <v>25.88</v>
      </c>
      <c r="I15" s="109">
        <f t="shared" si="4"/>
        <v>0</v>
      </c>
      <c r="J15" s="109">
        <f t="shared" si="5"/>
        <v>25.88</v>
      </c>
      <c r="K15" s="5" t="str">
        <f t="shared" si="6"/>
        <v>None</v>
      </c>
      <c r="L15">
        <f t="shared" si="7"/>
        <v>0</v>
      </c>
      <c r="M15" s="3">
        <f t="shared" si="8"/>
        <v>0</v>
      </c>
      <c r="N15" s="5" t="str">
        <f t="shared" si="9"/>
        <v>None</v>
      </c>
      <c r="O15">
        <f t="shared" si="10"/>
        <v>0</v>
      </c>
      <c r="P15" s="3">
        <f t="shared" si="11"/>
        <v>0</v>
      </c>
      <c r="Q15" s="8">
        <f t="shared" si="12"/>
        <v>10</v>
      </c>
      <c r="R15" s="16">
        <f t="shared" si="13"/>
        <v>0</v>
      </c>
      <c r="S15" s="8">
        <f t="shared" si="14"/>
        <v>0</v>
      </c>
      <c r="T15" s="8">
        <f t="shared" si="15"/>
        <v>15.879999999999999</v>
      </c>
      <c r="U15" s="5" t="b">
        <f t="shared" si="16"/>
        <v>0</v>
      </c>
      <c r="V15" s="8">
        <f t="shared" si="17"/>
        <v>0</v>
      </c>
      <c r="W15" s="8">
        <f t="shared" si="18"/>
        <v>0</v>
      </c>
      <c r="X15" s="5" t="b">
        <f t="shared" si="19"/>
        <v>1</v>
      </c>
      <c r="Y15" s="8">
        <f t="shared" si="20"/>
        <v>0</v>
      </c>
      <c r="Z15" s="8">
        <f t="shared" si="21"/>
        <v>0</v>
      </c>
      <c r="AA15" s="5" t="b">
        <f t="shared" si="22"/>
        <v>0</v>
      </c>
      <c r="AB15" s="8">
        <f t="shared" si="23"/>
        <v>0</v>
      </c>
      <c r="AC15" s="8">
        <f t="shared" si="24"/>
        <v>0</v>
      </c>
      <c r="AD15" s="5" t="b">
        <f t="shared" si="25"/>
        <v>0</v>
      </c>
      <c r="AE15" s="8">
        <f t="shared" si="26"/>
        <v>0</v>
      </c>
      <c r="AF15" s="8">
        <f t="shared" si="27"/>
        <v>0</v>
      </c>
      <c r="AG15" s="5" t="b">
        <f t="shared" si="28"/>
        <v>0</v>
      </c>
      <c r="AH15" s="8">
        <f t="shared" si="29"/>
        <v>0</v>
      </c>
      <c r="AI15" s="8">
        <f t="shared" si="30"/>
        <v>0</v>
      </c>
      <c r="AJ15" s="24">
        <f t="shared" si="31"/>
        <v>0</v>
      </c>
      <c r="AK15" s="8">
        <f t="shared" si="32"/>
        <v>25.88</v>
      </c>
      <c r="AL15" s="8">
        <f t="shared" si="33"/>
        <v>10</v>
      </c>
      <c r="AM15" s="183" t="b">
        <f t="shared" si="34"/>
        <v>1</v>
      </c>
      <c r="AN15" s="8">
        <f t="shared" si="35"/>
        <v>10</v>
      </c>
      <c r="AO15" s="54">
        <f t="shared" si="36"/>
        <v>4583.6099999999997</v>
      </c>
      <c r="AP15" s="8">
        <f t="shared" si="37"/>
        <v>10</v>
      </c>
      <c r="AQ15" s="8">
        <f t="shared" si="45"/>
        <v>15.879999999999999</v>
      </c>
      <c r="AR15" s="106">
        <f t="shared" si="38"/>
        <v>0</v>
      </c>
      <c r="AS15" s="106">
        <f t="shared" si="39"/>
        <v>0</v>
      </c>
      <c r="AT15" s="106">
        <f t="shared" si="40"/>
        <v>10</v>
      </c>
      <c r="AU15" s="106">
        <f t="shared" si="41"/>
        <v>0</v>
      </c>
      <c r="AV15" s="106">
        <f t="shared" si="42"/>
        <v>0</v>
      </c>
      <c r="AW15" t="b">
        <f t="shared" si="43"/>
        <v>1</v>
      </c>
      <c r="AX15" t="b">
        <f t="shared" si="44"/>
        <v>1</v>
      </c>
    </row>
    <row r="16" spans="1:50" x14ac:dyDescent="0.25">
      <c r="A16" s="1">
        <v>14</v>
      </c>
      <c r="B16" s="10">
        <v>40546</v>
      </c>
      <c r="C16" s="5">
        <v>1</v>
      </c>
      <c r="D16" s="13">
        <v>15</v>
      </c>
      <c r="E16" s="57" t="str">
        <f t="shared" si="0"/>
        <v>Assay Glucose Blood Quant</v>
      </c>
      <c r="F16" t="str">
        <f t="shared" si="1"/>
        <v>Diagnostic Services: Laboratory</v>
      </c>
      <c r="G16" t="str">
        <f t="shared" si="2"/>
        <v>Plan Deductible Only</v>
      </c>
      <c r="H16" s="109">
        <f t="shared" si="3"/>
        <v>5.73</v>
      </c>
      <c r="I16" s="109">
        <f t="shared" si="4"/>
        <v>0</v>
      </c>
      <c r="J16" s="109">
        <f t="shared" si="5"/>
        <v>5.73</v>
      </c>
      <c r="K16" s="5" t="str">
        <f t="shared" si="6"/>
        <v>None</v>
      </c>
      <c r="L16">
        <f t="shared" si="7"/>
        <v>0</v>
      </c>
      <c r="M16" s="3">
        <f t="shared" si="8"/>
        <v>0</v>
      </c>
      <c r="N16" s="5" t="str">
        <f t="shared" si="9"/>
        <v>None</v>
      </c>
      <c r="O16">
        <f t="shared" si="10"/>
        <v>0</v>
      </c>
      <c r="P16" s="3">
        <f t="shared" si="11"/>
        <v>0</v>
      </c>
      <c r="Q16" s="8">
        <f t="shared" si="12"/>
        <v>0</v>
      </c>
      <c r="R16" s="16">
        <f t="shared" si="13"/>
        <v>0</v>
      </c>
      <c r="S16" s="8">
        <f t="shared" si="14"/>
        <v>0</v>
      </c>
      <c r="T16" s="8">
        <f t="shared" si="15"/>
        <v>5.73</v>
      </c>
      <c r="U16" s="5" t="b">
        <f t="shared" si="16"/>
        <v>1</v>
      </c>
      <c r="V16" s="8">
        <f t="shared" si="17"/>
        <v>743.61</v>
      </c>
      <c r="W16" s="8">
        <f t="shared" si="18"/>
        <v>5.73</v>
      </c>
      <c r="X16" s="5" t="b">
        <f t="shared" si="19"/>
        <v>0</v>
      </c>
      <c r="Y16" s="8">
        <f t="shared" si="20"/>
        <v>0</v>
      </c>
      <c r="Z16" s="8">
        <f t="shared" si="21"/>
        <v>0</v>
      </c>
      <c r="AA16" s="5" t="b">
        <f t="shared" si="22"/>
        <v>0</v>
      </c>
      <c r="AB16" s="8">
        <f t="shared" si="23"/>
        <v>0</v>
      </c>
      <c r="AC16" s="8">
        <f t="shared" si="24"/>
        <v>0</v>
      </c>
      <c r="AD16" s="5" t="b">
        <f t="shared" si="25"/>
        <v>0</v>
      </c>
      <c r="AE16" s="8">
        <f t="shared" si="26"/>
        <v>0</v>
      </c>
      <c r="AF16" s="8">
        <f t="shared" si="27"/>
        <v>0</v>
      </c>
      <c r="AG16" s="5" t="b">
        <f t="shared" si="28"/>
        <v>0</v>
      </c>
      <c r="AH16" s="8">
        <f t="shared" si="29"/>
        <v>0</v>
      </c>
      <c r="AI16" s="8">
        <f t="shared" si="30"/>
        <v>0</v>
      </c>
      <c r="AJ16" s="24">
        <f t="shared" si="31"/>
        <v>5.73</v>
      </c>
      <c r="AK16" s="8">
        <f t="shared" si="32"/>
        <v>0</v>
      </c>
      <c r="AL16" s="8">
        <f t="shared" si="33"/>
        <v>5.73</v>
      </c>
      <c r="AM16" s="183" t="b">
        <f t="shared" si="34"/>
        <v>1</v>
      </c>
      <c r="AN16" s="8">
        <f t="shared" si="35"/>
        <v>5.73</v>
      </c>
      <c r="AO16" s="54">
        <f t="shared" si="36"/>
        <v>4573.6099999999997</v>
      </c>
      <c r="AP16" s="8">
        <f t="shared" si="37"/>
        <v>5.73</v>
      </c>
      <c r="AQ16" s="8">
        <f t="shared" si="45"/>
        <v>0</v>
      </c>
      <c r="AR16" s="106">
        <f t="shared" si="38"/>
        <v>0</v>
      </c>
      <c r="AS16" s="106">
        <f t="shared" si="39"/>
        <v>0</v>
      </c>
      <c r="AT16" s="106">
        <f t="shared" si="40"/>
        <v>0</v>
      </c>
      <c r="AU16" s="106">
        <f t="shared" si="41"/>
        <v>0</v>
      </c>
      <c r="AV16" s="106">
        <f t="shared" si="42"/>
        <v>5.73</v>
      </c>
      <c r="AW16" t="b">
        <f t="shared" si="43"/>
        <v>1</v>
      </c>
      <c r="AX16" t="b">
        <f t="shared" si="44"/>
        <v>1</v>
      </c>
    </row>
    <row r="17" spans="1:50" x14ac:dyDescent="0.25">
      <c r="A17" s="1">
        <v>15</v>
      </c>
      <c r="B17" s="10">
        <v>40546</v>
      </c>
      <c r="C17" s="5">
        <v>1</v>
      </c>
      <c r="D17" s="13">
        <v>13</v>
      </c>
      <c r="E17" s="57" t="str">
        <f t="shared" si="0"/>
        <v>Assay of Urine Creatinine</v>
      </c>
      <c r="F17" t="str">
        <f t="shared" si="1"/>
        <v>Diagnostic Services: Laboratory</v>
      </c>
      <c r="G17" t="str">
        <f t="shared" si="2"/>
        <v>Plan Deductible Only</v>
      </c>
      <c r="H17" s="109">
        <f t="shared" si="3"/>
        <v>5.79</v>
      </c>
      <c r="I17" s="109">
        <f t="shared" si="4"/>
        <v>0</v>
      </c>
      <c r="J17" s="109">
        <f t="shared" si="5"/>
        <v>5.79</v>
      </c>
      <c r="K17" s="5" t="str">
        <f t="shared" si="6"/>
        <v>None</v>
      </c>
      <c r="L17">
        <f t="shared" si="7"/>
        <v>0</v>
      </c>
      <c r="M17" s="3">
        <f t="shared" si="8"/>
        <v>0</v>
      </c>
      <c r="N17" s="5" t="str">
        <f t="shared" si="9"/>
        <v>None</v>
      </c>
      <c r="O17">
        <f t="shared" si="10"/>
        <v>0</v>
      </c>
      <c r="P17" s="3">
        <f t="shared" si="11"/>
        <v>0</v>
      </c>
      <c r="Q17" s="8">
        <f t="shared" si="12"/>
        <v>0</v>
      </c>
      <c r="R17" s="16">
        <f t="shared" si="13"/>
        <v>0</v>
      </c>
      <c r="S17" s="8">
        <f t="shared" si="14"/>
        <v>0</v>
      </c>
      <c r="T17" s="8">
        <f t="shared" si="15"/>
        <v>5.79</v>
      </c>
      <c r="U17" s="5" t="b">
        <f t="shared" si="16"/>
        <v>1</v>
      </c>
      <c r="V17" s="8">
        <f t="shared" si="17"/>
        <v>737.88</v>
      </c>
      <c r="W17" s="8">
        <f t="shared" si="18"/>
        <v>5.79</v>
      </c>
      <c r="X17" s="5" t="b">
        <f t="shared" si="19"/>
        <v>0</v>
      </c>
      <c r="Y17" s="8">
        <f t="shared" si="20"/>
        <v>0</v>
      </c>
      <c r="Z17" s="8">
        <f t="shared" si="21"/>
        <v>0</v>
      </c>
      <c r="AA17" s="5" t="b">
        <f t="shared" si="22"/>
        <v>0</v>
      </c>
      <c r="AB17" s="8">
        <f t="shared" si="23"/>
        <v>0</v>
      </c>
      <c r="AC17" s="8">
        <f t="shared" si="24"/>
        <v>0</v>
      </c>
      <c r="AD17" s="5" t="b">
        <f t="shared" si="25"/>
        <v>0</v>
      </c>
      <c r="AE17" s="8">
        <f t="shared" si="26"/>
        <v>0</v>
      </c>
      <c r="AF17" s="8">
        <f t="shared" si="27"/>
        <v>0</v>
      </c>
      <c r="AG17" s="5" t="b">
        <f t="shared" si="28"/>
        <v>0</v>
      </c>
      <c r="AH17" s="8">
        <f t="shared" si="29"/>
        <v>0</v>
      </c>
      <c r="AI17" s="8">
        <f t="shared" si="30"/>
        <v>0</v>
      </c>
      <c r="AJ17" s="24">
        <f t="shared" si="31"/>
        <v>5.79</v>
      </c>
      <c r="AK17" s="8">
        <f t="shared" si="32"/>
        <v>0</v>
      </c>
      <c r="AL17" s="8">
        <f t="shared" si="33"/>
        <v>5.79</v>
      </c>
      <c r="AM17" s="183" t="b">
        <f t="shared" si="34"/>
        <v>1</v>
      </c>
      <c r="AN17" s="8">
        <f t="shared" si="35"/>
        <v>5.79</v>
      </c>
      <c r="AO17" s="54">
        <f t="shared" si="36"/>
        <v>4567.88</v>
      </c>
      <c r="AP17" s="8">
        <f t="shared" si="37"/>
        <v>5.79</v>
      </c>
      <c r="AQ17" s="8">
        <f t="shared" si="45"/>
        <v>0</v>
      </c>
      <c r="AR17" s="106">
        <f t="shared" si="38"/>
        <v>0</v>
      </c>
      <c r="AS17" s="106">
        <f t="shared" si="39"/>
        <v>0</v>
      </c>
      <c r="AT17" s="106">
        <f t="shared" si="40"/>
        <v>0</v>
      </c>
      <c r="AU17" s="106">
        <f t="shared" si="41"/>
        <v>0</v>
      </c>
      <c r="AV17" s="106">
        <f t="shared" si="42"/>
        <v>5.79</v>
      </c>
      <c r="AW17" t="b">
        <f t="shared" si="43"/>
        <v>1</v>
      </c>
      <c r="AX17" t="b">
        <f t="shared" si="44"/>
        <v>1</v>
      </c>
    </row>
    <row r="18" spans="1:50" x14ac:dyDescent="0.25">
      <c r="A18" s="1">
        <v>16</v>
      </c>
      <c r="B18" s="10">
        <v>40546</v>
      </c>
      <c r="C18" s="5">
        <v>1</v>
      </c>
      <c r="D18" s="13">
        <v>8</v>
      </c>
      <c r="E18" s="57" t="str">
        <f t="shared" si="0"/>
        <v>Comprehen Metabolic Panel</v>
      </c>
      <c r="F18" t="str">
        <f t="shared" si="1"/>
        <v>Diagnostic Services: Laboratory</v>
      </c>
      <c r="G18" t="str">
        <f t="shared" si="2"/>
        <v>Plan Deductible Only</v>
      </c>
      <c r="H18" s="109">
        <f t="shared" si="3"/>
        <v>14.53</v>
      </c>
      <c r="I18" s="109">
        <f t="shared" si="4"/>
        <v>0</v>
      </c>
      <c r="J18" s="109">
        <f t="shared" si="5"/>
        <v>14.53</v>
      </c>
      <c r="K18" s="5" t="str">
        <f t="shared" si="6"/>
        <v>None</v>
      </c>
      <c r="L18">
        <f t="shared" si="7"/>
        <v>0</v>
      </c>
      <c r="M18" s="3">
        <f t="shared" si="8"/>
        <v>0</v>
      </c>
      <c r="N18" s="5" t="str">
        <f t="shared" si="9"/>
        <v>None</v>
      </c>
      <c r="O18">
        <f t="shared" si="10"/>
        <v>0</v>
      </c>
      <c r="P18" s="3">
        <f t="shared" si="11"/>
        <v>0</v>
      </c>
      <c r="Q18" s="8">
        <f t="shared" si="12"/>
        <v>0</v>
      </c>
      <c r="R18" s="16">
        <f t="shared" si="13"/>
        <v>0</v>
      </c>
      <c r="S18" s="8">
        <f t="shared" si="14"/>
        <v>0</v>
      </c>
      <c r="T18" s="8">
        <f t="shared" si="15"/>
        <v>14.53</v>
      </c>
      <c r="U18" s="5" t="b">
        <f t="shared" si="16"/>
        <v>1</v>
      </c>
      <c r="V18" s="8">
        <f t="shared" si="17"/>
        <v>732.08999999999992</v>
      </c>
      <c r="W18" s="8">
        <f t="shared" si="18"/>
        <v>14.53</v>
      </c>
      <c r="X18" s="5" t="b">
        <f t="shared" si="19"/>
        <v>0</v>
      </c>
      <c r="Y18" s="8">
        <f t="shared" si="20"/>
        <v>0</v>
      </c>
      <c r="Z18" s="8">
        <f t="shared" si="21"/>
        <v>0</v>
      </c>
      <c r="AA18" s="5" t="b">
        <f t="shared" si="22"/>
        <v>0</v>
      </c>
      <c r="AB18" s="8">
        <f t="shared" si="23"/>
        <v>0</v>
      </c>
      <c r="AC18" s="8">
        <f t="shared" si="24"/>
        <v>0</v>
      </c>
      <c r="AD18" s="5" t="b">
        <f t="shared" si="25"/>
        <v>0</v>
      </c>
      <c r="AE18" s="8">
        <f t="shared" si="26"/>
        <v>0</v>
      </c>
      <c r="AF18" s="8">
        <f t="shared" si="27"/>
        <v>0</v>
      </c>
      <c r="AG18" s="5" t="b">
        <f t="shared" si="28"/>
        <v>0</v>
      </c>
      <c r="AH18" s="8">
        <f t="shared" si="29"/>
        <v>0</v>
      </c>
      <c r="AI18" s="8">
        <f t="shared" si="30"/>
        <v>0</v>
      </c>
      <c r="AJ18" s="24">
        <f t="shared" si="31"/>
        <v>14.53</v>
      </c>
      <c r="AK18" s="8">
        <f t="shared" si="32"/>
        <v>0</v>
      </c>
      <c r="AL18" s="8">
        <f t="shared" si="33"/>
        <v>14.53</v>
      </c>
      <c r="AM18" s="183" t="b">
        <f t="shared" si="34"/>
        <v>1</v>
      </c>
      <c r="AN18" s="8">
        <f t="shared" si="35"/>
        <v>14.53</v>
      </c>
      <c r="AO18" s="54">
        <f t="shared" si="36"/>
        <v>4562.09</v>
      </c>
      <c r="AP18" s="8">
        <f t="shared" si="37"/>
        <v>14.53</v>
      </c>
      <c r="AQ18" s="8">
        <f t="shared" si="45"/>
        <v>0</v>
      </c>
      <c r="AR18" s="106">
        <f t="shared" si="38"/>
        <v>0</v>
      </c>
      <c r="AS18" s="106">
        <f t="shared" si="39"/>
        <v>0</v>
      </c>
      <c r="AT18" s="106">
        <f t="shared" si="40"/>
        <v>0</v>
      </c>
      <c r="AU18" s="106">
        <f t="shared" si="41"/>
        <v>0</v>
      </c>
      <c r="AV18" s="106">
        <f t="shared" si="42"/>
        <v>14.53</v>
      </c>
      <c r="AW18" t="b">
        <f t="shared" si="43"/>
        <v>1</v>
      </c>
      <c r="AX18" t="b">
        <f t="shared" si="44"/>
        <v>1</v>
      </c>
    </row>
    <row r="19" spans="1:50" x14ac:dyDescent="0.25">
      <c r="A19" s="1">
        <v>17</v>
      </c>
      <c r="B19" s="10">
        <v>40546</v>
      </c>
      <c r="C19" s="5">
        <v>1</v>
      </c>
      <c r="D19" s="13">
        <v>16</v>
      </c>
      <c r="E19" s="57" t="str">
        <f t="shared" si="0"/>
        <v>Glycosylated Hemoglobin Test</v>
      </c>
      <c r="F19" t="str">
        <f t="shared" si="1"/>
        <v>Diagnostic Services: Laboratory</v>
      </c>
      <c r="G19" t="str">
        <f t="shared" si="2"/>
        <v>Plan Deductible Only</v>
      </c>
      <c r="H19" s="109">
        <f t="shared" si="3"/>
        <v>10.85</v>
      </c>
      <c r="I19" s="109">
        <f t="shared" si="4"/>
        <v>0</v>
      </c>
      <c r="J19" s="109">
        <f t="shared" si="5"/>
        <v>10.85</v>
      </c>
      <c r="K19" s="5" t="str">
        <f t="shared" si="6"/>
        <v>None</v>
      </c>
      <c r="L19">
        <f t="shared" si="7"/>
        <v>0</v>
      </c>
      <c r="M19" s="3">
        <f t="shared" si="8"/>
        <v>0</v>
      </c>
      <c r="N19" s="5" t="str">
        <f t="shared" si="9"/>
        <v>None</v>
      </c>
      <c r="O19">
        <f t="shared" si="10"/>
        <v>0</v>
      </c>
      <c r="P19" s="3">
        <f t="shared" si="11"/>
        <v>0</v>
      </c>
      <c r="Q19" s="8">
        <f t="shared" si="12"/>
        <v>0</v>
      </c>
      <c r="R19" s="16">
        <f t="shared" si="13"/>
        <v>0</v>
      </c>
      <c r="S19" s="8">
        <f t="shared" si="14"/>
        <v>0</v>
      </c>
      <c r="T19" s="8">
        <f t="shared" si="15"/>
        <v>10.85</v>
      </c>
      <c r="U19" s="5" t="b">
        <f t="shared" si="16"/>
        <v>1</v>
      </c>
      <c r="V19" s="8">
        <f t="shared" si="17"/>
        <v>717.56</v>
      </c>
      <c r="W19" s="8">
        <f t="shared" si="18"/>
        <v>10.85</v>
      </c>
      <c r="X19" s="5" t="b">
        <f t="shared" si="19"/>
        <v>0</v>
      </c>
      <c r="Y19" s="8">
        <f t="shared" si="20"/>
        <v>0</v>
      </c>
      <c r="Z19" s="8">
        <f t="shared" si="21"/>
        <v>0</v>
      </c>
      <c r="AA19" s="5" t="b">
        <f t="shared" si="22"/>
        <v>0</v>
      </c>
      <c r="AB19" s="8">
        <f t="shared" si="23"/>
        <v>0</v>
      </c>
      <c r="AC19" s="8">
        <f t="shared" si="24"/>
        <v>0</v>
      </c>
      <c r="AD19" s="5" t="b">
        <f t="shared" si="25"/>
        <v>0</v>
      </c>
      <c r="AE19" s="8">
        <f t="shared" si="26"/>
        <v>0</v>
      </c>
      <c r="AF19" s="8">
        <f t="shared" si="27"/>
        <v>0</v>
      </c>
      <c r="AG19" s="5" t="b">
        <f t="shared" si="28"/>
        <v>0</v>
      </c>
      <c r="AH19" s="8">
        <f t="shared" si="29"/>
        <v>0</v>
      </c>
      <c r="AI19" s="8">
        <f t="shared" si="30"/>
        <v>0</v>
      </c>
      <c r="AJ19" s="24">
        <f t="shared" si="31"/>
        <v>10.85</v>
      </c>
      <c r="AK19" s="8">
        <f t="shared" si="32"/>
        <v>0</v>
      </c>
      <c r="AL19" s="8">
        <f t="shared" si="33"/>
        <v>10.85</v>
      </c>
      <c r="AM19" s="183" t="b">
        <f t="shared" si="34"/>
        <v>1</v>
      </c>
      <c r="AN19" s="8">
        <f t="shared" si="35"/>
        <v>10.85</v>
      </c>
      <c r="AO19" s="54">
        <f t="shared" si="36"/>
        <v>4547.5600000000004</v>
      </c>
      <c r="AP19" s="8">
        <f t="shared" si="37"/>
        <v>10.85</v>
      </c>
      <c r="AQ19" s="8">
        <f t="shared" si="45"/>
        <v>0</v>
      </c>
      <c r="AR19" s="106">
        <f t="shared" si="38"/>
        <v>0</v>
      </c>
      <c r="AS19" s="106">
        <f t="shared" si="39"/>
        <v>0</v>
      </c>
      <c r="AT19" s="106">
        <f t="shared" si="40"/>
        <v>0</v>
      </c>
      <c r="AU19" s="106">
        <f t="shared" si="41"/>
        <v>0</v>
      </c>
      <c r="AV19" s="106">
        <f t="shared" si="42"/>
        <v>10.85</v>
      </c>
      <c r="AW19" t="b">
        <f t="shared" si="43"/>
        <v>1</v>
      </c>
      <c r="AX19" t="b">
        <f t="shared" si="44"/>
        <v>1</v>
      </c>
    </row>
    <row r="20" spans="1:50" x14ac:dyDescent="0.25">
      <c r="A20" s="1">
        <v>18</v>
      </c>
      <c r="B20" s="10">
        <v>40546</v>
      </c>
      <c r="C20" s="5">
        <v>1</v>
      </c>
      <c r="D20" s="13">
        <v>9</v>
      </c>
      <c r="E20" s="57" t="str">
        <f t="shared" si="0"/>
        <v>Lipid panel</v>
      </c>
      <c r="F20" t="str">
        <f t="shared" si="1"/>
        <v>Diagnostic Services: Laboratory</v>
      </c>
      <c r="G20" t="str">
        <f t="shared" si="2"/>
        <v>Plan Deductible Only</v>
      </c>
      <c r="H20" s="109">
        <f t="shared" si="3"/>
        <v>14.42</v>
      </c>
      <c r="I20" s="109">
        <f t="shared" si="4"/>
        <v>0</v>
      </c>
      <c r="J20" s="109">
        <f t="shared" si="5"/>
        <v>14.42</v>
      </c>
      <c r="K20" s="5" t="str">
        <f t="shared" si="6"/>
        <v>None</v>
      </c>
      <c r="L20">
        <f t="shared" si="7"/>
        <v>0</v>
      </c>
      <c r="M20" s="3">
        <f t="shared" si="8"/>
        <v>0</v>
      </c>
      <c r="N20" s="5" t="str">
        <f t="shared" si="9"/>
        <v>None</v>
      </c>
      <c r="O20">
        <f t="shared" si="10"/>
        <v>0</v>
      </c>
      <c r="P20" s="3">
        <f t="shared" si="11"/>
        <v>0</v>
      </c>
      <c r="Q20" s="8">
        <f t="shared" si="12"/>
        <v>0</v>
      </c>
      <c r="R20" s="16">
        <f t="shared" si="13"/>
        <v>0</v>
      </c>
      <c r="S20" s="8">
        <f t="shared" si="14"/>
        <v>0</v>
      </c>
      <c r="T20" s="8">
        <f t="shared" si="15"/>
        <v>14.42</v>
      </c>
      <c r="U20" s="5" t="b">
        <f t="shared" si="16"/>
        <v>1</v>
      </c>
      <c r="V20" s="8">
        <f t="shared" si="17"/>
        <v>706.71</v>
      </c>
      <c r="W20" s="8">
        <f t="shared" si="18"/>
        <v>14.42</v>
      </c>
      <c r="X20" s="5" t="b">
        <f t="shared" si="19"/>
        <v>0</v>
      </c>
      <c r="Y20" s="8">
        <f t="shared" si="20"/>
        <v>0</v>
      </c>
      <c r="Z20" s="8">
        <f t="shared" si="21"/>
        <v>0</v>
      </c>
      <c r="AA20" s="5" t="b">
        <f t="shared" si="22"/>
        <v>0</v>
      </c>
      <c r="AB20" s="8">
        <f t="shared" si="23"/>
        <v>0</v>
      </c>
      <c r="AC20" s="8">
        <f t="shared" si="24"/>
        <v>0</v>
      </c>
      <c r="AD20" s="5" t="b">
        <f t="shared" si="25"/>
        <v>0</v>
      </c>
      <c r="AE20" s="8">
        <f t="shared" si="26"/>
        <v>0</v>
      </c>
      <c r="AF20" s="8">
        <f t="shared" si="27"/>
        <v>0</v>
      </c>
      <c r="AG20" s="5" t="b">
        <f t="shared" si="28"/>
        <v>0</v>
      </c>
      <c r="AH20" s="8">
        <f t="shared" si="29"/>
        <v>0</v>
      </c>
      <c r="AI20" s="8">
        <f t="shared" si="30"/>
        <v>0</v>
      </c>
      <c r="AJ20" s="24">
        <f t="shared" si="31"/>
        <v>14.42</v>
      </c>
      <c r="AK20" s="8">
        <f t="shared" si="32"/>
        <v>0</v>
      </c>
      <c r="AL20" s="8">
        <f t="shared" si="33"/>
        <v>14.42</v>
      </c>
      <c r="AM20" s="183" t="b">
        <f t="shared" si="34"/>
        <v>1</v>
      </c>
      <c r="AN20" s="8">
        <f t="shared" si="35"/>
        <v>14.42</v>
      </c>
      <c r="AO20" s="54">
        <f t="shared" si="36"/>
        <v>4536.71</v>
      </c>
      <c r="AP20" s="8">
        <f t="shared" si="37"/>
        <v>14.42</v>
      </c>
      <c r="AQ20" s="8">
        <f t="shared" si="45"/>
        <v>0</v>
      </c>
      <c r="AR20" s="106">
        <f t="shared" si="38"/>
        <v>0</v>
      </c>
      <c r="AS20" s="106">
        <f t="shared" si="39"/>
        <v>0</v>
      </c>
      <c r="AT20" s="106">
        <f t="shared" si="40"/>
        <v>0</v>
      </c>
      <c r="AU20" s="106">
        <f t="shared" si="41"/>
        <v>0</v>
      </c>
      <c r="AV20" s="106">
        <f t="shared" si="42"/>
        <v>14.42</v>
      </c>
      <c r="AW20" t="b">
        <f t="shared" si="43"/>
        <v>1</v>
      </c>
      <c r="AX20" t="b">
        <f t="shared" si="44"/>
        <v>1</v>
      </c>
    </row>
    <row r="21" spans="1:50" x14ac:dyDescent="0.25">
      <c r="A21" s="1">
        <v>19</v>
      </c>
      <c r="B21" s="10">
        <v>40546</v>
      </c>
      <c r="C21" s="5">
        <v>1</v>
      </c>
      <c r="D21" s="13">
        <v>12</v>
      </c>
      <c r="E21" s="57" t="str">
        <f t="shared" si="0"/>
        <v>Microalbumin Quantitative</v>
      </c>
      <c r="F21" t="str">
        <f t="shared" si="1"/>
        <v>Diagnostic Services: Laboratory</v>
      </c>
      <c r="G21" t="str">
        <f t="shared" si="2"/>
        <v>Plan Deductible Only</v>
      </c>
      <c r="H21" s="109">
        <f t="shared" si="3"/>
        <v>6.32</v>
      </c>
      <c r="I21" s="109">
        <f t="shared" si="4"/>
        <v>0</v>
      </c>
      <c r="J21" s="109">
        <f t="shared" si="5"/>
        <v>6.32</v>
      </c>
      <c r="K21" s="5" t="str">
        <f t="shared" si="6"/>
        <v>None</v>
      </c>
      <c r="L21">
        <f t="shared" si="7"/>
        <v>0</v>
      </c>
      <c r="M21" s="3">
        <f t="shared" si="8"/>
        <v>0</v>
      </c>
      <c r="N21" s="5" t="str">
        <f t="shared" si="9"/>
        <v>None</v>
      </c>
      <c r="O21">
        <f t="shared" si="10"/>
        <v>0</v>
      </c>
      <c r="P21" s="3">
        <f t="shared" si="11"/>
        <v>0</v>
      </c>
      <c r="Q21" s="8">
        <f t="shared" si="12"/>
        <v>0</v>
      </c>
      <c r="R21" s="16">
        <f t="shared" si="13"/>
        <v>0</v>
      </c>
      <c r="S21" s="8">
        <f t="shared" si="14"/>
        <v>0</v>
      </c>
      <c r="T21" s="8">
        <f t="shared" si="15"/>
        <v>6.32</v>
      </c>
      <c r="U21" s="5" t="b">
        <f t="shared" si="16"/>
        <v>1</v>
      </c>
      <c r="V21" s="8">
        <f t="shared" si="17"/>
        <v>692.29</v>
      </c>
      <c r="W21" s="8">
        <f t="shared" si="18"/>
        <v>6.32</v>
      </c>
      <c r="X21" s="5" t="b">
        <f t="shared" si="19"/>
        <v>0</v>
      </c>
      <c r="Y21" s="8">
        <f t="shared" si="20"/>
        <v>0</v>
      </c>
      <c r="Z21" s="8">
        <f t="shared" si="21"/>
        <v>0</v>
      </c>
      <c r="AA21" s="5" t="b">
        <f t="shared" si="22"/>
        <v>0</v>
      </c>
      <c r="AB21" s="8">
        <f t="shared" si="23"/>
        <v>0</v>
      </c>
      <c r="AC21" s="8">
        <f t="shared" si="24"/>
        <v>0</v>
      </c>
      <c r="AD21" s="5" t="b">
        <f t="shared" si="25"/>
        <v>0</v>
      </c>
      <c r="AE21" s="8">
        <f t="shared" si="26"/>
        <v>0</v>
      </c>
      <c r="AF21" s="8">
        <f t="shared" si="27"/>
        <v>0</v>
      </c>
      <c r="AG21" s="5" t="b">
        <f t="shared" si="28"/>
        <v>0</v>
      </c>
      <c r="AH21" s="8">
        <f t="shared" si="29"/>
        <v>0</v>
      </c>
      <c r="AI21" s="8">
        <f t="shared" si="30"/>
        <v>0</v>
      </c>
      <c r="AJ21" s="24">
        <f t="shared" si="31"/>
        <v>6.32</v>
      </c>
      <c r="AK21" s="8">
        <f t="shared" si="32"/>
        <v>0</v>
      </c>
      <c r="AL21" s="8">
        <f t="shared" si="33"/>
        <v>6.32</v>
      </c>
      <c r="AM21" s="183" t="b">
        <f t="shared" si="34"/>
        <v>1</v>
      </c>
      <c r="AN21" s="8">
        <f t="shared" si="35"/>
        <v>6.32</v>
      </c>
      <c r="AO21" s="54">
        <f t="shared" si="36"/>
        <v>4522.29</v>
      </c>
      <c r="AP21" s="8">
        <f t="shared" si="37"/>
        <v>6.32</v>
      </c>
      <c r="AQ21" s="8">
        <f t="shared" si="45"/>
        <v>0</v>
      </c>
      <c r="AR21" s="106">
        <f t="shared" si="38"/>
        <v>0</v>
      </c>
      <c r="AS21" s="106">
        <f t="shared" si="39"/>
        <v>0</v>
      </c>
      <c r="AT21" s="106">
        <f t="shared" si="40"/>
        <v>0</v>
      </c>
      <c r="AU21" s="106">
        <f t="shared" si="41"/>
        <v>0</v>
      </c>
      <c r="AV21" s="106">
        <f t="shared" si="42"/>
        <v>6.32</v>
      </c>
      <c r="AW21" t="b">
        <f t="shared" si="43"/>
        <v>1</v>
      </c>
      <c r="AX21" t="b">
        <f t="shared" si="44"/>
        <v>1</v>
      </c>
    </row>
    <row r="22" spans="1:50" x14ac:dyDescent="0.25">
      <c r="A22" s="1">
        <v>20</v>
      </c>
      <c r="B22" s="10">
        <v>40546</v>
      </c>
      <c r="C22" s="5">
        <v>1</v>
      </c>
      <c r="D22" s="13">
        <v>10</v>
      </c>
      <c r="E22" s="57" t="str">
        <f t="shared" si="0"/>
        <v>Renal Function Panel</v>
      </c>
      <c r="F22" t="str">
        <f t="shared" si="1"/>
        <v>Diagnostic Services: Laboratory</v>
      </c>
      <c r="G22" t="str">
        <f t="shared" si="2"/>
        <v>Plan Deductible Only</v>
      </c>
      <c r="H22" s="109">
        <f t="shared" si="3"/>
        <v>11.63</v>
      </c>
      <c r="I22" s="109">
        <f t="shared" si="4"/>
        <v>0</v>
      </c>
      <c r="J22" s="109">
        <f t="shared" si="5"/>
        <v>11.63</v>
      </c>
      <c r="K22" s="5" t="str">
        <f t="shared" si="6"/>
        <v>None</v>
      </c>
      <c r="L22">
        <f t="shared" si="7"/>
        <v>0</v>
      </c>
      <c r="M22" s="3">
        <f t="shared" si="8"/>
        <v>0</v>
      </c>
      <c r="N22" s="5" t="str">
        <f t="shared" si="9"/>
        <v>None</v>
      </c>
      <c r="O22">
        <f t="shared" si="10"/>
        <v>0</v>
      </c>
      <c r="P22" s="3">
        <f t="shared" si="11"/>
        <v>0</v>
      </c>
      <c r="Q22" s="8">
        <f t="shared" si="12"/>
        <v>0</v>
      </c>
      <c r="R22" s="16">
        <f t="shared" si="13"/>
        <v>0</v>
      </c>
      <c r="S22" s="8">
        <f t="shared" si="14"/>
        <v>0</v>
      </c>
      <c r="T22" s="8">
        <f t="shared" si="15"/>
        <v>11.63</v>
      </c>
      <c r="U22" s="5" t="b">
        <f t="shared" si="16"/>
        <v>1</v>
      </c>
      <c r="V22" s="8">
        <f t="shared" si="17"/>
        <v>685.97</v>
      </c>
      <c r="W22" s="8">
        <f t="shared" si="18"/>
        <v>11.63</v>
      </c>
      <c r="X22" s="5" t="b">
        <f t="shared" si="19"/>
        <v>0</v>
      </c>
      <c r="Y22" s="8">
        <f t="shared" si="20"/>
        <v>0</v>
      </c>
      <c r="Z22" s="8">
        <f t="shared" si="21"/>
        <v>0</v>
      </c>
      <c r="AA22" s="5" t="b">
        <f t="shared" si="22"/>
        <v>0</v>
      </c>
      <c r="AB22" s="8">
        <f t="shared" si="23"/>
        <v>0</v>
      </c>
      <c r="AC22" s="8">
        <f t="shared" si="24"/>
        <v>0</v>
      </c>
      <c r="AD22" s="5" t="b">
        <f t="shared" si="25"/>
        <v>0</v>
      </c>
      <c r="AE22" s="8">
        <f t="shared" si="26"/>
        <v>0</v>
      </c>
      <c r="AF22" s="8">
        <f t="shared" si="27"/>
        <v>0</v>
      </c>
      <c r="AG22" s="5" t="b">
        <f t="shared" si="28"/>
        <v>0</v>
      </c>
      <c r="AH22" s="8">
        <f t="shared" si="29"/>
        <v>0</v>
      </c>
      <c r="AI22" s="8">
        <f t="shared" si="30"/>
        <v>0</v>
      </c>
      <c r="AJ22" s="24">
        <f t="shared" si="31"/>
        <v>11.63</v>
      </c>
      <c r="AK22" s="8">
        <f t="shared" si="32"/>
        <v>0</v>
      </c>
      <c r="AL22" s="8">
        <f t="shared" si="33"/>
        <v>11.63</v>
      </c>
      <c r="AM22" s="183" t="b">
        <f t="shared" si="34"/>
        <v>1</v>
      </c>
      <c r="AN22" s="8">
        <f t="shared" si="35"/>
        <v>11.63</v>
      </c>
      <c r="AO22" s="54">
        <f t="shared" si="36"/>
        <v>4515.97</v>
      </c>
      <c r="AP22" s="8">
        <f t="shared" si="37"/>
        <v>11.63</v>
      </c>
      <c r="AQ22" s="8">
        <f t="shared" si="45"/>
        <v>0</v>
      </c>
      <c r="AR22" s="106">
        <f t="shared" si="38"/>
        <v>0</v>
      </c>
      <c r="AS22" s="106">
        <f t="shared" si="39"/>
        <v>0</v>
      </c>
      <c r="AT22" s="106">
        <f t="shared" si="40"/>
        <v>0</v>
      </c>
      <c r="AU22" s="106">
        <f t="shared" si="41"/>
        <v>0</v>
      </c>
      <c r="AV22" s="106">
        <f t="shared" si="42"/>
        <v>11.63</v>
      </c>
      <c r="AW22" t="b">
        <f t="shared" si="43"/>
        <v>1</v>
      </c>
      <c r="AX22" t="b">
        <f t="shared" si="44"/>
        <v>1</v>
      </c>
    </row>
    <row r="23" spans="1:50" x14ac:dyDescent="0.25">
      <c r="A23" s="1">
        <v>21</v>
      </c>
      <c r="B23" s="10">
        <v>40546</v>
      </c>
      <c r="C23" s="5">
        <v>1</v>
      </c>
      <c r="D23" s="13">
        <v>2</v>
      </c>
      <c r="E23" s="57" t="str">
        <f t="shared" si="0"/>
        <v>Routine Venipuncture</v>
      </c>
      <c r="F23" t="str">
        <f t="shared" si="1"/>
        <v>Diagnostic Services: Laboratory</v>
      </c>
      <c r="G23" t="str">
        <f t="shared" si="2"/>
        <v>Plan Deductible Only</v>
      </c>
      <c r="H23" s="109">
        <f t="shared" si="3"/>
        <v>4.17</v>
      </c>
      <c r="I23" s="109">
        <f t="shared" si="4"/>
        <v>0</v>
      </c>
      <c r="J23" s="109">
        <f t="shared" si="5"/>
        <v>4.17</v>
      </c>
      <c r="K23" s="5" t="str">
        <f t="shared" si="6"/>
        <v>None</v>
      </c>
      <c r="L23">
        <f t="shared" si="7"/>
        <v>0</v>
      </c>
      <c r="M23" s="3">
        <f t="shared" si="8"/>
        <v>0</v>
      </c>
      <c r="N23" s="5" t="str">
        <f t="shared" si="9"/>
        <v>None</v>
      </c>
      <c r="O23">
        <f t="shared" si="10"/>
        <v>0</v>
      </c>
      <c r="P23" s="3">
        <f t="shared" si="11"/>
        <v>0</v>
      </c>
      <c r="Q23" s="8">
        <f t="shared" si="12"/>
        <v>0</v>
      </c>
      <c r="R23" s="16">
        <f t="shared" si="13"/>
        <v>0</v>
      </c>
      <c r="S23" s="8">
        <f t="shared" si="14"/>
        <v>0</v>
      </c>
      <c r="T23" s="8">
        <f t="shared" si="15"/>
        <v>4.17</v>
      </c>
      <c r="U23" s="5" t="b">
        <f t="shared" si="16"/>
        <v>1</v>
      </c>
      <c r="V23" s="8">
        <f t="shared" si="17"/>
        <v>674.33999999999992</v>
      </c>
      <c r="W23" s="8">
        <f t="shared" si="18"/>
        <v>4.17</v>
      </c>
      <c r="X23" s="5" t="b">
        <f t="shared" si="19"/>
        <v>0</v>
      </c>
      <c r="Y23" s="8">
        <f t="shared" si="20"/>
        <v>0</v>
      </c>
      <c r="Z23" s="8">
        <f t="shared" si="21"/>
        <v>0</v>
      </c>
      <c r="AA23" s="5" t="b">
        <f t="shared" si="22"/>
        <v>0</v>
      </c>
      <c r="AB23" s="8">
        <f t="shared" si="23"/>
        <v>0</v>
      </c>
      <c r="AC23" s="8">
        <f t="shared" si="24"/>
        <v>0</v>
      </c>
      <c r="AD23" s="5" t="b">
        <f t="shared" si="25"/>
        <v>0</v>
      </c>
      <c r="AE23" s="8">
        <f t="shared" si="26"/>
        <v>0</v>
      </c>
      <c r="AF23" s="8">
        <f t="shared" si="27"/>
        <v>0</v>
      </c>
      <c r="AG23" s="5" t="b">
        <f t="shared" si="28"/>
        <v>0</v>
      </c>
      <c r="AH23" s="8">
        <f t="shared" si="29"/>
        <v>0</v>
      </c>
      <c r="AI23" s="8">
        <f t="shared" si="30"/>
        <v>0</v>
      </c>
      <c r="AJ23" s="24">
        <f t="shared" si="31"/>
        <v>4.17</v>
      </c>
      <c r="AK23" s="8">
        <f t="shared" si="32"/>
        <v>0</v>
      </c>
      <c r="AL23" s="8">
        <f t="shared" si="33"/>
        <v>4.17</v>
      </c>
      <c r="AM23" s="183" t="b">
        <f t="shared" si="34"/>
        <v>1</v>
      </c>
      <c r="AN23" s="8">
        <f t="shared" si="35"/>
        <v>4.17</v>
      </c>
      <c r="AO23" s="54">
        <f t="shared" si="36"/>
        <v>4504.34</v>
      </c>
      <c r="AP23" s="8">
        <f t="shared" si="37"/>
        <v>4.17</v>
      </c>
      <c r="AQ23" s="8">
        <f t="shared" si="45"/>
        <v>0</v>
      </c>
      <c r="AR23" s="106">
        <f t="shared" si="38"/>
        <v>0</v>
      </c>
      <c r="AS23" s="106">
        <f t="shared" si="39"/>
        <v>0</v>
      </c>
      <c r="AT23" s="106">
        <f t="shared" si="40"/>
        <v>0</v>
      </c>
      <c r="AU23" s="106">
        <f t="shared" si="41"/>
        <v>0</v>
      </c>
      <c r="AV23" s="106">
        <f t="shared" si="42"/>
        <v>4.17</v>
      </c>
      <c r="AW23" t="b">
        <f t="shared" si="43"/>
        <v>1</v>
      </c>
      <c r="AX23" t="b">
        <f t="shared" si="44"/>
        <v>1</v>
      </c>
    </row>
    <row r="24" spans="1:50" x14ac:dyDescent="0.25">
      <c r="A24" s="1">
        <v>22</v>
      </c>
      <c r="B24" s="10">
        <v>40546</v>
      </c>
      <c r="C24" s="5">
        <v>1</v>
      </c>
      <c r="D24" s="13">
        <v>11</v>
      </c>
      <c r="E24" s="57" t="str">
        <f t="shared" si="0"/>
        <v>Urinalysis Auto W/O Scope</v>
      </c>
      <c r="F24" t="str">
        <f t="shared" si="1"/>
        <v>Diagnostic Services: Laboratory</v>
      </c>
      <c r="G24" t="str">
        <f t="shared" si="2"/>
        <v>Plan Deductible Only</v>
      </c>
      <c r="H24" s="109">
        <f t="shared" si="3"/>
        <v>3.09</v>
      </c>
      <c r="I24" s="109">
        <f t="shared" si="4"/>
        <v>0</v>
      </c>
      <c r="J24" s="109">
        <f t="shared" si="5"/>
        <v>3.09</v>
      </c>
      <c r="K24" s="5" t="str">
        <f t="shared" si="6"/>
        <v>None</v>
      </c>
      <c r="L24">
        <f t="shared" si="7"/>
        <v>0</v>
      </c>
      <c r="M24" s="3">
        <f t="shared" si="8"/>
        <v>0</v>
      </c>
      <c r="N24" s="5" t="str">
        <f t="shared" si="9"/>
        <v>None</v>
      </c>
      <c r="O24">
        <f t="shared" si="10"/>
        <v>0</v>
      </c>
      <c r="P24" s="3">
        <f t="shared" si="11"/>
        <v>0</v>
      </c>
      <c r="Q24" s="8">
        <f t="shared" si="12"/>
        <v>0</v>
      </c>
      <c r="R24" s="16">
        <f t="shared" si="13"/>
        <v>0</v>
      </c>
      <c r="S24" s="8">
        <f t="shared" si="14"/>
        <v>0</v>
      </c>
      <c r="T24" s="8">
        <f t="shared" si="15"/>
        <v>3.09</v>
      </c>
      <c r="U24" s="5" t="b">
        <f t="shared" si="16"/>
        <v>1</v>
      </c>
      <c r="V24" s="8">
        <f t="shared" si="17"/>
        <v>670.17</v>
      </c>
      <c r="W24" s="8">
        <f t="shared" si="18"/>
        <v>3.09</v>
      </c>
      <c r="X24" s="5" t="b">
        <f t="shared" si="19"/>
        <v>0</v>
      </c>
      <c r="Y24" s="8">
        <f t="shared" si="20"/>
        <v>0</v>
      </c>
      <c r="Z24" s="8">
        <f t="shared" si="21"/>
        <v>0</v>
      </c>
      <c r="AA24" s="5" t="b">
        <f t="shared" si="22"/>
        <v>0</v>
      </c>
      <c r="AB24" s="8">
        <f t="shared" si="23"/>
        <v>0</v>
      </c>
      <c r="AC24" s="8">
        <f t="shared" si="24"/>
        <v>0</v>
      </c>
      <c r="AD24" s="5" t="b">
        <f t="shared" si="25"/>
        <v>0</v>
      </c>
      <c r="AE24" s="8">
        <f t="shared" si="26"/>
        <v>0</v>
      </c>
      <c r="AF24" s="8">
        <f t="shared" si="27"/>
        <v>0</v>
      </c>
      <c r="AG24" s="5" t="b">
        <f t="shared" si="28"/>
        <v>0</v>
      </c>
      <c r="AH24" s="8">
        <f t="shared" si="29"/>
        <v>0</v>
      </c>
      <c r="AI24" s="8">
        <f t="shared" si="30"/>
        <v>0</v>
      </c>
      <c r="AJ24" s="24">
        <f t="shared" si="31"/>
        <v>3.09</v>
      </c>
      <c r="AK24" s="8">
        <f t="shared" si="32"/>
        <v>0</v>
      </c>
      <c r="AL24" s="8">
        <f t="shared" si="33"/>
        <v>3.09</v>
      </c>
      <c r="AM24" s="183" t="b">
        <f t="shared" si="34"/>
        <v>1</v>
      </c>
      <c r="AN24" s="8">
        <f t="shared" si="35"/>
        <v>3.09</v>
      </c>
      <c r="AO24" s="54">
        <f t="shared" si="36"/>
        <v>4500.17</v>
      </c>
      <c r="AP24" s="8">
        <f t="shared" si="37"/>
        <v>3.09</v>
      </c>
      <c r="AQ24" s="8">
        <f t="shared" si="45"/>
        <v>0</v>
      </c>
      <c r="AR24" s="106">
        <f t="shared" si="38"/>
        <v>0</v>
      </c>
      <c r="AS24" s="106">
        <f t="shared" si="39"/>
        <v>0</v>
      </c>
      <c r="AT24" s="106">
        <f t="shared" si="40"/>
        <v>0</v>
      </c>
      <c r="AU24" s="106">
        <f t="shared" si="41"/>
        <v>0</v>
      </c>
      <c r="AV24" s="106">
        <f t="shared" si="42"/>
        <v>3.09</v>
      </c>
      <c r="AW24" t="b">
        <f t="shared" si="43"/>
        <v>1</v>
      </c>
      <c r="AX24" t="b">
        <f t="shared" si="44"/>
        <v>1</v>
      </c>
    </row>
    <row r="25" spans="1:50" x14ac:dyDescent="0.25">
      <c r="A25" s="1">
        <v>23</v>
      </c>
      <c r="B25" s="10">
        <v>40546</v>
      </c>
      <c r="C25" s="5">
        <v>1</v>
      </c>
      <c r="D25" s="13">
        <v>24</v>
      </c>
      <c r="E25" s="57" t="str">
        <f t="shared" si="0"/>
        <v>Office/Outpatient Visit Est</v>
      </c>
      <c r="F25" t="str">
        <f t="shared" si="1"/>
        <v>Professional Services: Primary Care</v>
      </c>
      <c r="G25" t="str">
        <f t="shared" si="2"/>
        <v>Copayment Only</v>
      </c>
      <c r="H25" s="109">
        <f t="shared" si="3"/>
        <v>107.87</v>
      </c>
      <c r="I25" s="109">
        <f t="shared" si="4"/>
        <v>0</v>
      </c>
      <c r="J25" s="109">
        <f t="shared" si="5"/>
        <v>107.87</v>
      </c>
      <c r="K25" s="5" t="str">
        <f t="shared" si="6"/>
        <v>None</v>
      </c>
      <c r="L25">
        <f t="shared" si="7"/>
        <v>0</v>
      </c>
      <c r="M25" s="3">
        <f t="shared" si="8"/>
        <v>0</v>
      </c>
      <c r="N25" s="5" t="str">
        <f t="shared" si="9"/>
        <v>None</v>
      </c>
      <c r="O25">
        <f t="shared" si="10"/>
        <v>0</v>
      </c>
      <c r="P25" s="3">
        <f t="shared" si="11"/>
        <v>0</v>
      </c>
      <c r="Q25" s="8">
        <f t="shared" si="12"/>
        <v>30</v>
      </c>
      <c r="R25" s="16">
        <f t="shared" si="13"/>
        <v>0</v>
      </c>
      <c r="S25" s="8">
        <f t="shared" si="14"/>
        <v>0</v>
      </c>
      <c r="T25" s="8">
        <f t="shared" si="15"/>
        <v>77.87</v>
      </c>
      <c r="U25" s="5" t="b">
        <f t="shared" si="16"/>
        <v>0</v>
      </c>
      <c r="V25" s="8">
        <f t="shared" si="17"/>
        <v>0</v>
      </c>
      <c r="W25" s="8">
        <f t="shared" si="18"/>
        <v>0</v>
      </c>
      <c r="X25" s="5" t="b">
        <f t="shared" si="19"/>
        <v>0</v>
      </c>
      <c r="Y25" s="8">
        <f t="shared" si="20"/>
        <v>0</v>
      </c>
      <c r="Z25" s="8">
        <f t="shared" si="21"/>
        <v>0</v>
      </c>
      <c r="AA25" s="5" t="b">
        <f t="shared" si="22"/>
        <v>0</v>
      </c>
      <c r="AB25" s="8">
        <f t="shared" si="23"/>
        <v>0</v>
      </c>
      <c r="AC25" s="8">
        <f t="shared" si="24"/>
        <v>0</v>
      </c>
      <c r="AD25" s="5" t="b">
        <f t="shared" si="25"/>
        <v>0</v>
      </c>
      <c r="AE25" s="8">
        <f t="shared" si="26"/>
        <v>0</v>
      </c>
      <c r="AF25" s="8">
        <f t="shared" si="27"/>
        <v>0</v>
      </c>
      <c r="AG25" s="5" t="b">
        <f t="shared" si="28"/>
        <v>0</v>
      </c>
      <c r="AH25" s="8">
        <f t="shared" si="29"/>
        <v>0</v>
      </c>
      <c r="AI25" s="8">
        <f t="shared" si="30"/>
        <v>0</v>
      </c>
      <c r="AJ25" s="24">
        <f t="shared" si="31"/>
        <v>0</v>
      </c>
      <c r="AK25" s="8">
        <f t="shared" si="32"/>
        <v>107.87</v>
      </c>
      <c r="AL25" s="8">
        <f t="shared" si="33"/>
        <v>30</v>
      </c>
      <c r="AM25" s="183" t="b">
        <f t="shared" si="34"/>
        <v>1</v>
      </c>
      <c r="AN25" s="8">
        <f t="shared" si="35"/>
        <v>30</v>
      </c>
      <c r="AO25" s="54">
        <f t="shared" si="36"/>
        <v>4497.08</v>
      </c>
      <c r="AP25" s="8">
        <f t="shared" si="37"/>
        <v>30</v>
      </c>
      <c r="AQ25" s="8">
        <f t="shared" si="45"/>
        <v>77.87</v>
      </c>
      <c r="AR25" s="106">
        <f t="shared" si="38"/>
        <v>0</v>
      </c>
      <c r="AS25" s="106">
        <f t="shared" si="39"/>
        <v>0</v>
      </c>
      <c r="AT25" s="106">
        <f t="shared" si="40"/>
        <v>30</v>
      </c>
      <c r="AU25" s="106">
        <f t="shared" si="41"/>
        <v>0</v>
      </c>
      <c r="AV25" s="106">
        <f t="shared" si="42"/>
        <v>0</v>
      </c>
      <c r="AW25" t="b">
        <f t="shared" si="43"/>
        <v>1</v>
      </c>
      <c r="AX25" t="b">
        <f t="shared" si="44"/>
        <v>1</v>
      </c>
    </row>
    <row r="26" spans="1:50" x14ac:dyDescent="0.25">
      <c r="A26" s="1">
        <v>24</v>
      </c>
      <c r="B26" s="10">
        <v>40547</v>
      </c>
      <c r="C26" s="5">
        <v>1</v>
      </c>
      <c r="D26" s="13">
        <v>21</v>
      </c>
      <c r="E26" s="57" t="str">
        <f t="shared" si="0"/>
        <v>Self-mgmt educ &amp; train 1 pt</v>
      </c>
      <c r="F26" t="str">
        <f t="shared" si="1"/>
        <v>Professional Services: Primary Care</v>
      </c>
      <c r="G26" t="str">
        <f t="shared" si="2"/>
        <v>Copayment Only</v>
      </c>
      <c r="H26" s="109">
        <f t="shared" si="3"/>
        <v>99.9</v>
      </c>
      <c r="I26" s="109">
        <f t="shared" si="4"/>
        <v>0</v>
      </c>
      <c r="J26" s="109">
        <f t="shared" si="5"/>
        <v>99.9</v>
      </c>
      <c r="K26" s="5" t="str">
        <f t="shared" si="6"/>
        <v>None</v>
      </c>
      <c r="L26">
        <f t="shared" si="7"/>
        <v>0</v>
      </c>
      <c r="M26" s="3">
        <f t="shared" si="8"/>
        <v>0</v>
      </c>
      <c r="N26" s="5" t="str">
        <f t="shared" si="9"/>
        <v>None</v>
      </c>
      <c r="O26">
        <f t="shared" si="10"/>
        <v>0</v>
      </c>
      <c r="P26" s="3">
        <f t="shared" si="11"/>
        <v>0</v>
      </c>
      <c r="Q26" s="8">
        <f t="shared" si="12"/>
        <v>30</v>
      </c>
      <c r="R26" s="16">
        <f t="shared" si="13"/>
        <v>0</v>
      </c>
      <c r="S26" s="8">
        <f t="shared" si="14"/>
        <v>0</v>
      </c>
      <c r="T26" s="8">
        <f t="shared" si="15"/>
        <v>69.900000000000006</v>
      </c>
      <c r="U26" s="5" t="b">
        <f t="shared" si="16"/>
        <v>0</v>
      </c>
      <c r="V26" s="8">
        <f t="shared" si="17"/>
        <v>0</v>
      </c>
      <c r="W26" s="8">
        <f t="shared" si="18"/>
        <v>0</v>
      </c>
      <c r="X26" s="5" t="b">
        <f t="shared" si="19"/>
        <v>0</v>
      </c>
      <c r="Y26" s="8">
        <f t="shared" si="20"/>
        <v>0</v>
      </c>
      <c r="Z26" s="8">
        <f t="shared" si="21"/>
        <v>0</v>
      </c>
      <c r="AA26" s="5" t="b">
        <f t="shared" si="22"/>
        <v>0</v>
      </c>
      <c r="AB26" s="8">
        <f t="shared" si="23"/>
        <v>0</v>
      </c>
      <c r="AC26" s="8">
        <f t="shared" si="24"/>
        <v>0</v>
      </c>
      <c r="AD26" s="5" t="b">
        <f t="shared" si="25"/>
        <v>0</v>
      </c>
      <c r="AE26" s="8">
        <f t="shared" si="26"/>
        <v>0</v>
      </c>
      <c r="AF26" s="8">
        <f t="shared" si="27"/>
        <v>0</v>
      </c>
      <c r="AG26" s="5" t="b">
        <f t="shared" si="28"/>
        <v>0</v>
      </c>
      <c r="AH26" s="8">
        <f t="shared" si="29"/>
        <v>0</v>
      </c>
      <c r="AI26" s="8">
        <f t="shared" si="30"/>
        <v>0</v>
      </c>
      <c r="AJ26" s="24">
        <f t="shared" si="31"/>
        <v>0</v>
      </c>
      <c r="AK26" s="8">
        <f t="shared" si="32"/>
        <v>99.9</v>
      </c>
      <c r="AL26" s="8">
        <f t="shared" si="33"/>
        <v>30</v>
      </c>
      <c r="AM26" s="183" t="b">
        <f t="shared" si="34"/>
        <v>1</v>
      </c>
      <c r="AN26" s="8">
        <f t="shared" si="35"/>
        <v>30</v>
      </c>
      <c r="AO26" s="54">
        <f t="shared" si="36"/>
        <v>4467.08</v>
      </c>
      <c r="AP26" s="8">
        <f t="shared" si="37"/>
        <v>30</v>
      </c>
      <c r="AQ26" s="8">
        <f t="shared" si="45"/>
        <v>69.900000000000006</v>
      </c>
      <c r="AR26" s="106">
        <f t="shared" si="38"/>
        <v>0</v>
      </c>
      <c r="AS26" s="106">
        <f t="shared" si="39"/>
        <v>0</v>
      </c>
      <c r="AT26" s="106">
        <f t="shared" si="40"/>
        <v>30</v>
      </c>
      <c r="AU26" s="106">
        <f t="shared" si="41"/>
        <v>0</v>
      </c>
      <c r="AV26" s="106">
        <f t="shared" si="42"/>
        <v>0</v>
      </c>
      <c r="AW26" t="b">
        <f t="shared" si="43"/>
        <v>1</v>
      </c>
      <c r="AX26" t="b">
        <f t="shared" si="44"/>
        <v>1</v>
      </c>
    </row>
    <row r="27" spans="1:50" x14ac:dyDescent="0.25">
      <c r="A27" s="1">
        <v>25</v>
      </c>
      <c r="B27" s="10">
        <v>40547</v>
      </c>
      <c r="C27" s="5">
        <v>1</v>
      </c>
      <c r="D27" s="13">
        <v>20</v>
      </c>
      <c r="E27" s="57" t="str">
        <f t="shared" si="0"/>
        <v>Med Nutrition Indiv Subseq</v>
      </c>
      <c r="F27" t="str">
        <f t="shared" si="1"/>
        <v>Professional Services: Primary Care</v>
      </c>
      <c r="G27" t="str">
        <f t="shared" si="2"/>
        <v>Copayment Only</v>
      </c>
      <c r="H27" s="109">
        <f t="shared" si="3"/>
        <v>80</v>
      </c>
      <c r="I27" s="109">
        <f t="shared" si="4"/>
        <v>0</v>
      </c>
      <c r="J27" s="109">
        <f t="shared" si="5"/>
        <v>80</v>
      </c>
      <c r="K27" s="5" t="str">
        <f t="shared" si="6"/>
        <v>None</v>
      </c>
      <c r="L27">
        <f t="shared" si="7"/>
        <v>0</v>
      </c>
      <c r="M27" s="3">
        <f t="shared" si="8"/>
        <v>0</v>
      </c>
      <c r="N27" s="5" t="str">
        <f t="shared" si="9"/>
        <v>None</v>
      </c>
      <c r="O27">
        <f t="shared" si="10"/>
        <v>0</v>
      </c>
      <c r="P27" s="3">
        <f t="shared" si="11"/>
        <v>0</v>
      </c>
      <c r="Q27" s="8">
        <f t="shared" si="12"/>
        <v>30</v>
      </c>
      <c r="R27" s="16">
        <f t="shared" si="13"/>
        <v>0</v>
      </c>
      <c r="S27" s="8">
        <f t="shared" si="14"/>
        <v>0</v>
      </c>
      <c r="T27" s="8">
        <f t="shared" si="15"/>
        <v>50</v>
      </c>
      <c r="U27" s="5" t="b">
        <f t="shared" si="16"/>
        <v>0</v>
      </c>
      <c r="V27" s="8">
        <f t="shared" si="17"/>
        <v>0</v>
      </c>
      <c r="W27" s="8">
        <f t="shared" si="18"/>
        <v>0</v>
      </c>
      <c r="X27" s="5" t="b">
        <f t="shared" si="19"/>
        <v>0</v>
      </c>
      <c r="Y27" s="8">
        <f t="shared" si="20"/>
        <v>0</v>
      </c>
      <c r="Z27" s="8">
        <f t="shared" si="21"/>
        <v>0</v>
      </c>
      <c r="AA27" s="5" t="b">
        <f t="shared" si="22"/>
        <v>0</v>
      </c>
      <c r="AB27" s="8">
        <f t="shared" si="23"/>
        <v>0</v>
      </c>
      <c r="AC27" s="8">
        <f t="shared" si="24"/>
        <v>0</v>
      </c>
      <c r="AD27" s="5" t="b">
        <f t="shared" si="25"/>
        <v>0</v>
      </c>
      <c r="AE27" s="8">
        <f t="shared" si="26"/>
        <v>0</v>
      </c>
      <c r="AF27" s="8">
        <f t="shared" si="27"/>
        <v>0</v>
      </c>
      <c r="AG27" s="5" t="b">
        <f t="shared" si="28"/>
        <v>0</v>
      </c>
      <c r="AH27" s="8">
        <f t="shared" si="29"/>
        <v>0</v>
      </c>
      <c r="AI27" s="8">
        <f t="shared" si="30"/>
        <v>0</v>
      </c>
      <c r="AJ27" s="24">
        <f t="shared" si="31"/>
        <v>0</v>
      </c>
      <c r="AK27" s="8">
        <f t="shared" si="32"/>
        <v>80</v>
      </c>
      <c r="AL27" s="8">
        <f t="shared" si="33"/>
        <v>30</v>
      </c>
      <c r="AM27" s="183" t="b">
        <f t="shared" si="34"/>
        <v>1</v>
      </c>
      <c r="AN27" s="8">
        <f t="shared" si="35"/>
        <v>30</v>
      </c>
      <c r="AO27" s="54">
        <f t="shared" si="36"/>
        <v>4437.08</v>
      </c>
      <c r="AP27" s="8">
        <f t="shared" si="37"/>
        <v>30</v>
      </c>
      <c r="AQ27" s="8">
        <f t="shared" si="45"/>
        <v>50</v>
      </c>
      <c r="AR27" s="106">
        <f t="shared" si="38"/>
        <v>0</v>
      </c>
      <c r="AS27" s="106">
        <f t="shared" si="39"/>
        <v>0</v>
      </c>
      <c r="AT27" s="106">
        <f t="shared" si="40"/>
        <v>30</v>
      </c>
      <c r="AU27" s="106">
        <f t="shared" si="41"/>
        <v>0</v>
      </c>
      <c r="AV27" s="106">
        <f t="shared" si="42"/>
        <v>0</v>
      </c>
      <c r="AW27" t="b">
        <f t="shared" si="43"/>
        <v>1</v>
      </c>
      <c r="AX27" t="b">
        <f t="shared" si="44"/>
        <v>1</v>
      </c>
    </row>
    <row r="28" spans="1:50" x14ac:dyDescent="0.25">
      <c r="A28" s="1">
        <v>26</v>
      </c>
      <c r="B28" s="10">
        <v>40549</v>
      </c>
      <c r="C28" s="5">
        <v>1</v>
      </c>
      <c r="D28" s="13">
        <v>23</v>
      </c>
      <c r="E28" s="57" t="str">
        <f t="shared" si="0"/>
        <v>Office/Outpatient Visit New</v>
      </c>
      <c r="F28" t="str">
        <f t="shared" si="1"/>
        <v>Professional Services: Specialist</v>
      </c>
      <c r="G28" t="str">
        <f t="shared" si="2"/>
        <v>Plan Deductible Only</v>
      </c>
      <c r="H28" s="109">
        <f t="shared" si="3"/>
        <v>165</v>
      </c>
      <c r="I28" s="109">
        <f t="shared" si="4"/>
        <v>0</v>
      </c>
      <c r="J28" s="109">
        <f t="shared" si="5"/>
        <v>165</v>
      </c>
      <c r="K28" s="5" t="str">
        <f t="shared" si="6"/>
        <v>None</v>
      </c>
      <c r="L28">
        <f t="shared" si="7"/>
        <v>0</v>
      </c>
      <c r="M28" s="3">
        <f t="shared" si="8"/>
        <v>0</v>
      </c>
      <c r="N28" s="5" t="str">
        <f t="shared" si="9"/>
        <v>None</v>
      </c>
      <c r="O28">
        <f t="shared" si="10"/>
        <v>0</v>
      </c>
      <c r="P28" s="3">
        <f t="shared" si="11"/>
        <v>0</v>
      </c>
      <c r="Q28" s="8">
        <f t="shared" si="12"/>
        <v>0</v>
      </c>
      <c r="R28" s="16">
        <f t="shared" si="13"/>
        <v>0</v>
      </c>
      <c r="S28" s="8">
        <f t="shared" si="14"/>
        <v>0</v>
      </c>
      <c r="T28" s="8">
        <f t="shared" si="15"/>
        <v>165</v>
      </c>
      <c r="U28" s="5" t="b">
        <f t="shared" si="16"/>
        <v>1</v>
      </c>
      <c r="V28" s="8">
        <f t="shared" si="17"/>
        <v>667.07999999999993</v>
      </c>
      <c r="W28" s="8">
        <f t="shared" si="18"/>
        <v>165</v>
      </c>
      <c r="X28" s="5" t="b">
        <f t="shared" si="19"/>
        <v>0</v>
      </c>
      <c r="Y28" s="8">
        <f t="shared" si="20"/>
        <v>0</v>
      </c>
      <c r="Z28" s="8">
        <f t="shared" si="21"/>
        <v>0</v>
      </c>
      <c r="AA28" s="5" t="b">
        <f t="shared" si="22"/>
        <v>0</v>
      </c>
      <c r="AB28" s="8">
        <f t="shared" si="23"/>
        <v>0</v>
      </c>
      <c r="AC28" s="8">
        <f t="shared" si="24"/>
        <v>0</v>
      </c>
      <c r="AD28" s="5" t="b">
        <f t="shared" si="25"/>
        <v>0</v>
      </c>
      <c r="AE28" s="8">
        <f t="shared" si="26"/>
        <v>0</v>
      </c>
      <c r="AF28" s="8">
        <f t="shared" si="27"/>
        <v>0</v>
      </c>
      <c r="AG28" s="5" t="b">
        <f t="shared" si="28"/>
        <v>0</v>
      </c>
      <c r="AH28" s="8">
        <f t="shared" si="29"/>
        <v>0</v>
      </c>
      <c r="AI28" s="8">
        <f t="shared" si="30"/>
        <v>0</v>
      </c>
      <c r="AJ28" s="24">
        <f t="shared" si="31"/>
        <v>165</v>
      </c>
      <c r="AK28" s="8">
        <f t="shared" si="32"/>
        <v>0</v>
      </c>
      <c r="AL28" s="8">
        <f t="shared" si="33"/>
        <v>165</v>
      </c>
      <c r="AM28" s="183" t="b">
        <f t="shared" si="34"/>
        <v>1</v>
      </c>
      <c r="AN28" s="8">
        <f t="shared" si="35"/>
        <v>165</v>
      </c>
      <c r="AO28" s="54">
        <f t="shared" si="36"/>
        <v>4407.08</v>
      </c>
      <c r="AP28" s="8">
        <f t="shared" si="37"/>
        <v>165</v>
      </c>
      <c r="AQ28" s="8">
        <f t="shared" si="45"/>
        <v>0</v>
      </c>
      <c r="AR28" s="106">
        <f t="shared" si="38"/>
        <v>0</v>
      </c>
      <c r="AS28" s="106">
        <f t="shared" si="39"/>
        <v>0</v>
      </c>
      <c r="AT28" s="106">
        <f t="shared" si="40"/>
        <v>0</v>
      </c>
      <c r="AU28" s="106">
        <f t="shared" si="41"/>
        <v>0</v>
      </c>
      <c r="AV28" s="106">
        <f t="shared" si="42"/>
        <v>165</v>
      </c>
      <c r="AW28" t="b">
        <f t="shared" si="43"/>
        <v>1</v>
      </c>
      <c r="AX28" t="b">
        <f t="shared" si="44"/>
        <v>1</v>
      </c>
    </row>
    <row r="29" spans="1:50" x14ac:dyDescent="0.25">
      <c r="A29" s="1">
        <v>27</v>
      </c>
      <c r="B29" s="10">
        <v>40550</v>
      </c>
      <c r="C29" s="5">
        <v>1</v>
      </c>
      <c r="D29" s="13">
        <v>22</v>
      </c>
      <c r="E29" s="57" t="str">
        <f t="shared" si="0"/>
        <v>Ophthalmological services: medical examination &amp; evaluation, with initiation or continuation of diagnostic and treatment program, comprehensive, established patient, 1 or more visits</v>
      </c>
      <c r="F29" t="str">
        <f t="shared" si="1"/>
        <v>Professional Services: Specialist</v>
      </c>
      <c r="G29" t="str">
        <f t="shared" si="2"/>
        <v>Plan Deductible Only</v>
      </c>
      <c r="H29" s="109">
        <f t="shared" si="3"/>
        <v>108.24</v>
      </c>
      <c r="I29" s="109">
        <f t="shared" si="4"/>
        <v>0</v>
      </c>
      <c r="J29" s="109">
        <f t="shared" si="5"/>
        <v>108.24</v>
      </c>
      <c r="K29" s="5" t="str">
        <f t="shared" si="6"/>
        <v>None</v>
      </c>
      <c r="L29">
        <f t="shared" si="7"/>
        <v>0</v>
      </c>
      <c r="M29" s="3">
        <f t="shared" si="8"/>
        <v>0</v>
      </c>
      <c r="N29" s="5" t="str">
        <f t="shared" si="9"/>
        <v>None</v>
      </c>
      <c r="O29">
        <f t="shared" si="10"/>
        <v>0</v>
      </c>
      <c r="P29" s="3">
        <f t="shared" si="11"/>
        <v>0</v>
      </c>
      <c r="Q29" s="8">
        <f t="shared" si="12"/>
        <v>0</v>
      </c>
      <c r="R29" s="16">
        <f t="shared" si="13"/>
        <v>0</v>
      </c>
      <c r="S29" s="8">
        <f t="shared" si="14"/>
        <v>0</v>
      </c>
      <c r="T29" s="8">
        <f t="shared" si="15"/>
        <v>108.24</v>
      </c>
      <c r="U29" s="5" t="b">
        <f t="shared" si="16"/>
        <v>1</v>
      </c>
      <c r="V29" s="8">
        <f t="shared" si="17"/>
        <v>502.08</v>
      </c>
      <c r="W29" s="8">
        <f t="shared" si="18"/>
        <v>108.24</v>
      </c>
      <c r="X29" s="5" t="b">
        <f t="shared" si="19"/>
        <v>0</v>
      </c>
      <c r="Y29" s="8">
        <f t="shared" si="20"/>
        <v>0</v>
      </c>
      <c r="Z29" s="8">
        <f t="shared" si="21"/>
        <v>0</v>
      </c>
      <c r="AA29" s="5" t="b">
        <f t="shared" si="22"/>
        <v>0</v>
      </c>
      <c r="AB29" s="8">
        <f t="shared" si="23"/>
        <v>0</v>
      </c>
      <c r="AC29" s="8">
        <f t="shared" si="24"/>
        <v>0</v>
      </c>
      <c r="AD29" s="5" t="b">
        <f t="shared" si="25"/>
        <v>0</v>
      </c>
      <c r="AE29" s="8">
        <f t="shared" si="26"/>
        <v>0</v>
      </c>
      <c r="AF29" s="8">
        <f t="shared" si="27"/>
        <v>0</v>
      </c>
      <c r="AG29" s="5" t="b">
        <f t="shared" si="28"/>
        <v>0</v>
      </c>
      <c r="AH29" s="8">
        <f t="shared" si="29"/>
        <v>0</v>
      </c>
      <c r="AI29" s="8">
        <f t="shared" si="30"/>
        <v>0</v>
      </c>
      <c r="AJ29" s="24">
        <f t="shared" si="31"/>
        <v>108.24</v>
      </c>
      <c r="AK29" s="8">
        <f t="shared" si="32"/>
        <v>0</v>
      </c>
      <c r="AL29" s="8">
        <f t="shared" si="33"/>
        <v>108.24</v>
      </c>
      <c r="AM29" s="183" t="b">
        <f t="shared" si="34"/>
        <v>1</v>
      </c>
      <c r="AN29" s="8">
        <f t="shared" si="35"/>
        <v>108.24</v>
      </c>
      <c r="AO29" s="54">
        <f t="shared" si="36"/>
        <v>4242.08</v>
      </c>
      <c r="AP29" s="8">
        <f t="shared" si="37"/>
        <v>108.24</v>
      </c>
      <c r="AQ29" s="8">
        <f t="shared" si="45"/>
        <v>0</v>
      </c>
      <c r="AR29" s="106">
        <f t="shared" si="38"/>
        <v>0</v>
      </c>
      <c r="AS29" s="106">
        <f t="shared" si="39"/>
        <v>0</v>
      </c>
      <c r="AT29" s="106">
        <f t="shared" si="40"/>
        <v>0</v>
      </c>
      <c r="AU29" s="106">
        <f t="shared" si="41"/>
        <v>0</v>
      </c>
      <c r="AV29" s="106">
        <f t="shared" si="42"/>
        <v>108.24</v>
      </c>
      <c r="AW29" t="b">
        <f t="shared" si="43"/>
        <v>1</v>
      </c>
      <c r="AX29" t="b">
        <f t="shared" si="44"/>
        <v>1</v>
      </c>
    </row>
    <row r="30" spans="1:50" x14ac:dyDescent="0.25">
      <c r="A30" s="1">
        <v>28</v>
      </c>
      <c r="B30" s="10">
        <v>40574</v>
      </c>
      <c r="C30" s="5">
        <v>1</v>
      </c>
      <c r="D30" s="13">
        <v>17</v>
      </c>
      <c r="E30" s="57" t="str">
        <f t="shared" si="0"/>
        <v>Insulin glargine 100 unit/ml injectable solution (Rx - 10ml vial)  [20 units QD; expires 28 days after first use]</v>
      </c>
      <c r="F30" t="str">
        <f t="shared" si="1"/>
        <v>Prescription Drugs: Branded</v>
      </c>
      <c r="G30" t="str">
        <f t="shared" si="2"/>
        <v>Rx Deductible+Co-pay</v>
      </c>
      <c r="H30" s="109">
        <f t="shared" si="3"/>
        <v>275.51</v>
      </c>
      <c r="I30" s="109">
        <f t="shared" si="4"/>
        <v>0</v>
      </c>
      <c r="J30" s="109">
        <f t="shared" si="5"/>
        <v>275.51</v>
      </c>
      <c r="K30" s="5" t="str">
        <f t="shared" si="6"/>
        <v>None</v>
      </c>
      <c r="L30">
        <f t="shared" si="7"/>
        <v>1</v>
      </c>
      <c r="M30" s="3">
        <f t="shared" si="8"/>
        <v>0</v>
      </c>
      <c r="N30" s="5" t="str">
        <f t="shared" si="9"/>
        <v>None</v>
      </c>
      <c r="O30">
        <f t="shared" si="10"/>
        <v>1</v>
      </c>
      <c r="P30" s="3">
        <f t="shared" si="11"/>
        <v>0</v>
      </c>
      <c r="Q30" s="8">
        <f t="shared" si="12"/>
        <v>30</v>
      </c>
      <c r="R30" s="16">
        <f t="shared" si="13"/>
        <v>0</v>
      </c>
      <c r="S30" s="8">
        <f t="shared" si="14"/>
        <v>0</v>
      </c>
      <c r="T30" s="8">
        <f t="shared" si="15"/>
        <v>245.51</v>
      </c>
      <c r="U30" s="5" t="b">
        <f t="shared" si="16"/>
        <v>0</v>
      </c>
      <c r="V30" s="8">
        <f t="shared" si="17"/>
        <v>0</v>
      </c>
      <c r="W30" s="8">
        <f t="shared" si="18"/>
        <v>0</v>
      </c>
      <c r="X30" s="5" t="b">
        <f t="shared" si="19"/>
        <v>1</v>
      </c>
      <c r="Y30" s="8">
        <f t="shared" si="20"/>
        <v>0</v>
      </c>
      <c r="Z30" s="8">
        <f t="shared" si="21"/>
        <v>0</v>
      </c>
      <c r="AA30" s="5" t="b">
        <f t="shared" si="22"/>
        <v>0</v>
      </c>
      <c r="AB30" s="8">
        <f t="shared" si="23"/>
        <v>0</v>
      </c>
      <c r="AC30" s="8">
        <f t="shared" si="24"/>
        <v>0</v>
      </c>
      <c r="AD30" s="5" t="b">
        <f t="shared" si="25"/>
        <v>0</v>
      </c>
      <c r="AE30" s="8">
        <f t="shared" si="26"/>
        <v>0</v>
      </c>
      <c r="AF30" s="8">
        <f t="shared" si="27"/>
        <v>0</v>
      </c>
      <c r="AG30" s="5" t="b">
        <f t="shared" si="28"/>
        <v>0</v>
      </c>
      <c r="AH30" s="8">
        <f t="shared" si="29"/>
        <v>0</v>
      </c>
      <c r="AI30" s="8">
        <f t="shared" si="30"/>
        <v>0</v>
      </c>
      <c r="AJ30" s="24">
        <f t="shared" si="31"/>
        <v>0</v>
      </c>
      <c r="AK30" s="8">
        <f t="shared" si="32"/>
        <v>275.51</v>
      </c>
      <c r="AL30" s="8">
        <f t="shared" si="33"/>
        <v>30</v>
      </c>
      <c r="AM30" s="183" t="b">
        <f t="shared" si="34"/>
        <v>1</v>
      </c>
      <c r="AN30" s="8">
        <f t="shared" si="35"/>
        <v>30</v>
      </c>
      <c r="AO30" s="54">
        <f t="shared" si="36"/>
        <v>4133.84</v>
      </c>
      <c r="AP30" s="8">
        <f t="shared" si="37"/>
        <v>30</v>
      </c>
      <c r="AQ30" s="8">
        <f t="shared" si="45"/>
        <v>245.51</v>
      </c>
      <c r="AR30" s="106">
        <f t="shared" si="38"/>
        <v>0</v>
      </c>
      <c r="AS30" s="106">
        <f t="shared" si="39"/>
        <v>0</v>
      </c>
      <c r="AT30" s="106">
        <f t="shared" si="40"/>
        <v>30</v>
      </c>
      <c r="AU30" s="106">
        <f t="shared" si="41"/>
        <v>0</v>
      </c>
      <c r="AV30" s="106">
        <f t="shared" si="42"/>
        <v>0</v>
      </c>
      <c r="AW30" t="b">
        <f t="shared" si="43"/>
        <v>1</v>
      </c>
      <c r="AX30" t="b">
        <f t="shared" si="44"/>
        <v>1</v>
      </c>
    </row>
    <row r="31" spans="1:50" x14ac:dyDescent="0.25">
      <c r="A31" s="1">
        <v>29</v>
      </c>
      <c r="B31" s="10">
        <v>40576</v>
      </c>
      <c r="C31" s="5">
        <v>2</v>
      </c>
      <c r="D31" s="13">
        <v>25</v>
      </c>
      <c r="E31" s="57" t="str">
        <f t="shared" si="0"/>
        <v>Alcohol swabs (OTC - box of 100)  [usage = 3 wipes/day; 90 wipes/month]</v>
      </c>
      <c r="F31" t="str">
        <f t="shared" si="1"/>
        <v>Over-the-counter Drugs</v>
      </c>
      <c r="G31" t="str">
        <f t="shared" si="2"/>
        <v>Not Covered</v>
      </c>
      <c r="H31" s="109">
        <f t="shared" si="3"/>
        <v>2.6074999999999999</v>
      </c>
      <c r="I31" s="109">
        <f t="shared" si="4"/>
        <v>2.6074999999999999</v>
      </c>
      <c r="J31" s="109">
        <f t="shared" si="5"/>
        <v>0</v>
      </c>
      <c r="K31" s="5" t="str">
        <f t="shared" si="6"/>
        <v>None</v>
      </c>
      <c r="L31">
        <f t="shared" si="7"/>
        <v>0</v>
      </c>
      <c r="M31" s="3">
        <f t="shared" si="8"/>
        <v>0</v>
      </c>
      <c r="N31" s="5" t="str">
        <f t="shared" si="9"/>
        <v>None</v>
      </c>
      <c r="O31">
        <f t="shared" si="10"/>
        <v>1</v>
      </c>
      <c r="P31" s="3">
        <f t="shared" si="11"/>
        <v>0</v>
      </c>
      <c r="Q31" s="8">
        <f t="shared" si="12"/>
        <v>0</v>
      </c>
      <c r="R31" s="16">
        <f t="shared" si="13"/>
        <v>0</v>
      </c>
      <c r="S31" s="8">
        <f t="shared" si="14"/>
        <v>0</v>
      </c>
      <c r="T31" s="8">
        <f t="shared" si="15"/>
        <v>0</v>
      </c>
      <c r="U31" s="5" t="b">
        <f t="shared" si="16"/>
        <v>0</v>
      </c>
      <c r="V31" s="8">
        <f t="shared" si="17"/>
        <v>0</v>
      </c>
      <c r="W31" s="8">
        <f t="shared" si="18"/>
        <v>0</v>
      </c>
      <c r="X31" s="5" t="b">
        <f t="shared" si="19"/>
        <v>0</v>
      </c>
      <c r="Y31" s="8">
        <f t="shared" si="20"/>
        <v>0</v>
      </c>
      <c r="Z31" s="8">
        <f t="shared" si="21"/>
        <v>0</v>
      </c>
      <c r="AA31" s="5" t="b">
        <f t="shared" si="22"/>
        <v>0</v>
      </c>
      <c r="AB31" s="8">
        <f t="shared" si="23"/>
        <v>0</v>
      </c>
      <c r="AC31" s="8">
        <f t="shared" si="24"/>
        <v>0</v>
      </c>
      <c r="AD31" s="5" t="b">
        <f t="shared" si="25"/>
        <v>0</v>
      </c>
      <c r="AE31" s="8">
        <f t="shared" si="26"/>
        <v>0</v>
      </c>
      <c r="AF31" s="8">
        <f t="shared" si="27"/>
        <v>0</v>
      </c>
      <c r="AG31" s="5" t="b">
        <f t="shared" si="28"/>
        <v>0</v>
      </c>
      <c r="AH31" s="8">
        <f t="shared" si="29"/>
        <v>0</v>
      </c>
      <c r="AI31" s="8">
        <f t="shared" si="30"/>
        <v>0</v>
      </c>
      <c r="AJ31" s="24">
        <f t="shared" si="31"/>
        <v>0</v>
      </c>
      <c r="AK31" s="8">
        <f t="shared" si="32"/>
        <v>0</v>
      </c>
      <c r="AL31" s="8">
        <f t="shared" si="33"/>
        <v>0</v>
      </c>
      <c r="AM31" s="183" t="b">
        <f t="shared" si="34"/>
        <v>0</v>
      </c>
      <c r="AN31" s="8">
        <f t="shared" si="35"/>
        <v>0</v>
      </c>
      <c r="AO31" s="54">
        <f t="shared" si="36"/>
        <v>0</v>
      </c>
      <c r="AP31" s="8">
        <f t="shared" si="37"/>
        <v>0</v>
      </c>
      <c r="AQ31" s="8">
        <f t="shared" si="45"/>
        <v>0</v>
      </c>
      <c r="AR31" s="106">
        <f t="shared" si="38"/>
        <v>2.6074999999999999</v>
      </c>
      <c r="AS31" s="106">
        <f t="shared" si="39"/>
        <v>0</v>
      </c>
      <c r="AT31" s="106">
        <f t="shared" si="40"/>
        <v>0</v>
      </c>
      <c r="AU31" s="106">
        <f t="shared" si="41"/>
        <v>0</v>
      </c>
      <c r="AV31" s="106">
        <f t="shared" si="42"/>
        <v>0</v>
      </c>
      <c r="AW31" t="b">
        <f t="shared" si="43"/>
        <v>1</v>
      </c>
      <c r="AX31" t="b">
        <f t="shared" si="44"/>
        <v>1</v>
      </c>
    </row>
    <row r="32" spans="1:50" x14ac:dyDescent="0.25">
      <c r="A32" s="1">
        <v>30</v>
      </c>
      <c r="B32" s="10">
        <v>40576</v>
      </c>
      <c r="C32" s="5">
        <v>2</v>
      </c>
      <c r="D32" s="13">
        <v>14</v>
      </c>
      <c r="E32" s="57" t="str">
        <f t="shared" si="0"/>
        <v>BD Ultrafine Insulin Syringes / 30G/ 0.5cc  [usage = 30 syringes per month]</v>
      </c>
      <c r="F32" t="str">
        <f t="shared" si="1"/>
        <v>Medical Supplies</v>
      </c>
      <c r="G32" t="str">
        <f t="shared" si="2"/>
        <v>Plan Deductible Only</v>
      </c>
      <c r="H32" s="109">
        <f t="shared" si="3"/>
        <v>42.66</v>
      </c>
      <c r="I32" s="109">
        <f t="shared" si="4"/>
        <v>0</v>
      </c>
      <c r="J32" s="109">
        <f t="shared" si="5"/>
        <v>42.66</v>
      </c>
      <c r="K32" s="5" t="str">
        <f t="shared" si="6"/>
        <v>None</v>
      </c>
      <c r="L32">
        <f t="shared" si="7"/>
        <v>0</v>
      </c>
      <c r="M32" s="3">
        <f t="shared" si="8"/>
        <v>0</v>
      </c>
      <c r="N32" s="5" t="str">
        <f t="shared" si="9"/>
        <v>None</v>
      </c>
      <c r="O32">
        <f t="shared" si="10"/>
        <v>1</v>
      </c>
      <c r="P32" s="3">
        <f t="shared" si="11"/>
        <v>0</v>
      </c>
      <c r="Q32" s="8">
        <f t="shared" si="12"/>
        <v>0</v>
      </c>
      <c r="R32" s="16">
        <f t="shared" si="13"/>
        <v>0</v>
      </c>
      <c r="S32" s="8">
        <f t="shared" si="14"/>
        <v>0</v>
      </c>
      <c r="T32" s="8">
        <f t="shared" si="15"/>
        <v>42.66</v>
      </c>
      <c r="U32" s="5" t="b">
        <f t="shared" si="16"/>
        <v>1</v>
      </c>
      <c r="V32" s="8">
        <f t="shared" si="17"/>
        <v>393.84000000000003</v>
      </c>
      <c r="W32" s="8">
        <f t="shared" si="18"/>
        <v>42.66</v>
      </c>
      <c r="X32" s="5" t="b">
        <f t="shared" si="19"/>
        <v>0</v>
      </c>
      <c r="Y32" s="8">
        <f t="shared" si="20"/>
        <v>0</v>
      </c>
      <c r="Z32" s="8">
        <f t="shared" si="21"/>
        <v>0</v>
      </c>
      <c r="AA32" s="5" t="b">
        <f t="shared" si="22"/>
        <v>0</v>
      </c>
      <c r="AB32" s="8">
        <f t="shared" si="23"/>
        <v>0</v>
      </c>
      <c r="AC32" s="8">
        <f t="shared" si="24"/>
        <v>0</v>
      </c>
      <c r="AD32" s="5" t="b">
        <f t="shared" si="25"/>
        <v>0</v>
      </c>
      <c r="AE32" s="8">
        <f t="shared" si="26"/>
        <v>0</v>
      </c>
      <c r="AF32" s="8">
        <f t="shared" si="27"/>
        <v>0</v>
      </c>
      <c r="AG32" s="5" t="b">
        <f t="shared" si="28"/>
        <v>0</v>
      </c>
      <c r="AH32" s="8">
        <f t="shared" si="29"/>
        <v>0</v>
      </c>
      <c r="AI32" s="8">
        <f t="shared" si="30"/>
        <v>0</v>
      </c>
      <c r="AJ32" s="24">
        <f t="shared" si="31"/>
        <v>42.66</v>
      </c>
      <c r="AK32" s="8">
        <f t="shared" si="32"/>
        <v>0</v>
      </c>
      <c r="AL32" s="8">
        <f t="shared" si="33"/>
        <v>42.66</v>
      </c>
      <c r="AM32" s="183" t="b">
        <f t="shared" si="34"/>
        <v>1</v>
      </c>
      <c r="AN32" s="8">
        <f t="shared" si="35"/>
        <v>42.66</v>
      </c>
      <c r="AO32" s="54">
        <f t="shared" si="36"/>
        <v>4103.84</v>
      </c>
      <c r="AP32" s="8">
        <f t="shared" si="37"/>
        <v>42.66</v>
      </c>
      <c r="AQ32" s="8">
        <f t="shared" si="45"/>
        <v>0</v>
      </c>
      <c r="AR32" s="106">
        <f t="shared" si="38"/>
        <v>0</v>
      </c>
      <c r="AS32" s="106">
        <f t="shared" si="39"/>
        <v>0</v>
      </c>
      <c r="AT32" s="106">
        <f t="shared" si="40"/>
        <v>0</v>
      </c>
      <c r="AU32" s="106">
        <f t="shared" si="41"/>
        <v>0</v>
      </c>
      <c r="AV32" s="106">
        <f t="shared" si="42"/>
        <v>42.66</v>
      </c>
      <c r="AW32" t="b">
        <f t="shared" si="43"/>
        <v>1</v>
      </c>
      <c r="AX32" t="b">
        <f t="shared" si="44"/>
        <v>1</v>
      </c>
    </row>
    <row r="33" spans="1:50" x14ac:dyDescent="0.25">
      <c r="A33" s="1">
        <v>31</v>
      </c>
      <c r="B33" s="10">
        <v>40576</v>
      </c>
      <c r="C33" s="5">
        <v>2</v>
      </c>
      <c r="D33" s="13">
        <v>32</v>
      </c>
      <c r="E33" s="57" t="str">
        <f t="shared" si="0"/>
        <v>METFORMIN HCL 850 MG TABLET</v>
      </c>
      <c r="F33" t="str">
        <f t="shared" si="1"/>
        <v>Prescription Drugs: Generic</v>
      </c>
      <c r="G33" t="str">
        <f t="shared" si="2"/>
        <v>Rx Deductible+Co-pay</v>
      </c>
      <c r="H33" s="109">
        <f t="shared" si="3"/>
        <v>9.19</v>
      </c>
      <c r="I33" s="109">
        <f t="shared" si="4"/>
        <v>0</v>
      </c>
      <c r="J33" s="109">
        <f t="shared" si="5"/>
        <v>9.19</v>
      </c>
      <c r="K33" s="5" t="str">
        <f t="shared" si="6"/>
        <v>None</v>
      </c>
      <c r="L33">
        <f t="shared" si="7"/>
        <v>0</v>
      </c>
      <c r="M33" s="3">
        <f t="shared" si="8"/>
        <v>0</v>
      </c>
      <c r="N33" s="5" t="str">
        <f t="shared" si="9"/>
        <v>None</v>
      </c>
      <c r="O33">
        <f t="shared" si="10"/>
        <v>1</v>
      </c>
      <c r="P33" s="3">
        <f t="shared" si="11"/>
        <v>0</v>
      </c>
      <c r="Q33" s="8">
        <f t="shared" si="12"/>
        <v>10</v>
      </c>
      <c r="R33" s="16">
        <f t="shared" si="13"/>
        <v>0</v>
      </c>
      <c r="S33" s="8">
        <f t="shared" si="14"/>
        <v>0</v>
      </c>
      <c r="T33" s="8">
        <f t="shared" si="15"/>
        <v>0</v>
      </c>
      <c r="U33" s="5" t="b">
        <f t="shared" si="16"/>
        <v>0</v>
      </c>
      <c r="V33" s="8">
        <f t="shared" si="17"/>
        <v>0</v>
      </c>
      <c r="W33" s="8">
        <f t="shared" si="18"/>
        <v>0</v>
      </c>
      <c r="X33" s="5" t="b">
        <f t="shared" si="19"/>
        <v>1</v>
      </c>
      <c r="Y33" s="8">
        <f t="shared" si="20"/>
        <v>0</v>
      </c>
      <c r="Z33" s="8">
        <f t="shared" si="21"/>
        <v>0</v>
      </c>
      <c r="AA33" s="5" t="b">
        <f t="shared" si="22"/>
        <v>0</v>
      </c>
      <c r="AB33" s="8">
        <f t="shared" si="23"/>
        <v>0</v>
      </c>
      <c r="AC33" s="8">
        <f t="shared" si="24"/>
        <v>0</v>
      </c>
      <c r="AD33" s="5" t="b">
        <f t="shared" si="25"/>
        <v>0</v>
      </c>
      <c r="AE33" s="8">
        <f t="shared" si="26"/>
        <v>0</v>
      </c>
      <c r="AF33" s="8">
        <f t="shared" si="27"/>
        <v>0</v>
      </c>
      <c r="AG33" s="5" t="b">
        <f t="shared" si="28"/>
        <v>0</v>
      </c>
      <c r="AH33" s="8">
        <f t="shared" si="29"/>
        <v>0</v>
      </c>
      <c r="AI33" s="8">
        <f t="shared" si="30"/>
        <v>0</v>
      </c>
      <c r="AJ33" s="24">
        <f t="shared" si="31"/>
        <v>0</v>
      </c>
      <c r="AK33" s="8">
        <f t="shared" si="32"/>
        <v>9.19</v>
      </c>
      <c r="AL33" s="8">
        <f t="shared" si="33"/>
        <v>10</v>
      </c>
      <c r="AM33" s="183" t="b">
        <f t="shared" si="34"/>
        <v>1</v>
      </c>
      <c r="AN33" s="8">
        <f t="shared" si="35"/>
        <v>10</v>
      </c>
      <c r="AO33" s="54">
        <f t="shared" si="36"/>
        <v>4061.18</v>
      </c>
      <c r="AP33" s="8">
        <f t="shared" si="37"/>
        <v>10</v>
      </c>
      <c r="AQ33" s="8">
        <f t="shared" si="45"/>
        <v>0</v>
      </c>
      <c r="AR33" s="106">
        <f t="shared" si="38"/>
        <v>0</v>
      </c>
      <c r="AS33" s="106">
        <f t="shared" si="39"/>
        <v>0</v>
      </c>
      <c r="AT33" s="106">
        <f t="shared" si="40"/>
        <v>10</v>
      </c>
      <c r="AU33" s="106">
        <f t="shared" si="41"/>
        <v>0</v>
      </c>
      <c r="AV33" s="106">
        <f t="shared" si="42"/>
        <v>0</v>
      </c>
      <c r="AW33" t="b">
        <f t="shared" si="43"/>
        <v>1</v>
      </c>
      <c r="AX33" t="b">
        <f t="shared" si="44"/>
        <v>0</v>
      </c>
    </row>
    <row r="34" spans="1:50" x14ac:dyDescent="0.25">
      <c r="A34" s="1">
        <v>32</v>
      </c>
      <c r="B34" s="10">
        <v>40576</v>
      </c>
      <c r="C34" s="5">
        <v>2</v>
      </c>
      <c r="D34" s="13">
        <v>19</v>
      </c>
      <c r="E34" s="57" t="str">
        <f t="shared" si="0"/>
        <v>Ramipril 10mg (Rx) [1 QD; #30 pills/month]</v>
      </c>
      <c r="F34" t="str">
        <f t="shared" si="1"/>
        <v>Prescription Drugs: Generic</v>
      </c>
      <c r="G34" t="str">
        <f t="shared" si="2"/>
        <v>Rx Deductible+Co-pay</v>
      </c>
      <c r="H34" s="109">
        <f t="shared" si="3"/>
        <v>15.92</v>
      </c>
      <c r="I34" s="109">
        <f t="shared" si="4"/>
        <v>0</v>
      </c>
      <c r="J34" s="109">
        <f t="shared" si="5"/>
        <v>15.92</v>
      </c>
      <c r="K34" s="5" t="str">
        <f t="shared" si="6"/>
        <v>None</v>
      </c>
      <c r="L34">
        <f t="shared" si="7"/>
        <v>0</v>
      </c>
      <c r="M34" s="3">
        <f t="shared" si="8"/>
        <v>0</v>
      </c>
      <c r="N34" s="5" t="str">
        <f t="shared" si="9"/>
        <v>None</v>
      </c>
      <c r="O34">
        <f t="shared" si="10"/>
        <v>1</v>
      </c>
      <c r="P34" s="3">
        <f t="shared" si="11"/>
        <v>0</v>
      </c>
      <c r="Q34" s="8">
        <f t="shared" si="12"/>
        <v>10</v>
      </c>
      <c r="R34" s="16">
        <f t="shared" si="13"/>
        <v>0</v>
      </c>
      <c r="S34" s="8">
        <f t="shared" si="14"/>
        <v>0</v>
      </c>
      <c r="T34" s="8">
        <f t="shared" si="15"/>
        <v>5.92</v>
      </c>
      <c r="U34" s="5" t="b">
        <f t="shared" si="16"/>
        <v>0</v>
      </c>
      <c r="V34" s="8">
        <f t="shared" si="17"/>
        <v>0</v>
      </c>
      <c r="W34" s="8">
        <f t="shared" si="18"/>
        <v>0</v>
      </c>
      <c r="X34" s="5" t="b">
        <f t="shared" si="19"/>
        <v>1</v>
      </c>
      <c r="Y34" s="8">
        <f t="shared" si="20"/>
        <v>0</v>
      </c>
      <c r="Z34" s="8">
        <f t="shared" si="21"/>
        <v>0</v>
      </c>
      <c r="AA34" s="5" t="b">
        <f t="shared" si="22"/>
        <v>0</v>
      </c>
      <c r="AB34" s="8">
        <f t="shared" si="23"/>
        <v>0</v>
      </c>
      <c r="AC34" s="8">
        <f t="shared" si="24"/>
        <v>0</v>
      </c>
      <c r="AD34" s="5" t="b">
        <f t="shared" si="25"/>
        <v>0</v>
      </c>
      <c r="AE34" s="8">
        <f t="shared" si="26"/>
        <v>0</v>
      </c>
      <c r="AF34" s="8">
        <f t="shared" si="27"/>
        <v>0</v>
      </c>
      <c r="AG34" s="5" t="b">
        <f t="shared" si="28"/>
        <v>0</v>
      </c>
      <c r="AH34" s="8">
        <f t="shared" si="29"/>
        <v>0</v>
      </c>
      <c r="AI34" s="8">
        <f t="shared" si="30"/>
        <v>0</v>
      </c>
      <c r="AJ34" s="24">
        <f t="shared" si="31"/>
        <v>0</v>
      </c>
      <c r="AK34" s="8">
        <f t="shared" si="32"/>
        <v>15.92</v>
      </c>
      <c r="AL34" s="8">
        <f t="shared" si="33"/>
        <v>10</v>
      </c>
      <c r="AM34" s="183" t="b">
        <f t="shared" si="34"/>
        <v>1</v>
      </c>
      <c r="AN34" s="8">
        <f t="shared" si="35"/>
        <v>10</v>
      </c>
      <c r="AO34" s="54">
        <f t="shared" si="36"/>
        <v>4051.18</v>
      </c>
      <c r="AP34" s="8">
        <f t="shared" si="37"/>
        <v>10</v>
      </c>
      <c r="AQ34" s="8">
        <f t="shared" si="45"/>
        <v>5.92</v>
      </c>
      <c r="AR34" s="106">
        <f t="shared" si="38"/>
        <v>0</v>
      </c>
      <c r="AS34" s="106">
        <f t="shared" si="39"/>
        <v>0</v>
      </c>
      <c r="AT34" s="106">
        <f t="shared" si="40"/>
        <v>10</v>
      </c>
      <c r="AU34" s="106">
        <f t="shared" si="41"/>
        <v>0</v>
      </c>
      <c r="AV34" s="106">
        <f t="shared" si="42"/>
        <v>0</v>
      </c>
      <c r="AW34" t="b">
        <f t="shared" si="43"/>
        <v>1</v>
      </c>
      <c r="AX34" t="b">
        <f t="shared" si="44"/>
        <v>1</v>
      </c>
    </row>
    <row r="35" spans="1:50" x14ac:dyDescent="0.25">
      <c r="A35" s="1">
        <v>33</v>
      </c>
      <c r="B35" s="10">
        <v>40596</v>
      </c>
      <c r="C35" s="5">
        <v>2</v>
      </c>
      <c r="D35" s="13">
        <v>5</v>
      </c>
      <c r="E35" s="57" t="str">
        <f t="shared" ref="E35:E66" si="46">VLOOKUP(ServiceCode,DiabetesFeeSchedule,6,FALSE)</f>
        <v>OneTouch Delica Lancets (100 per box)  [usage = 60 lancets per month]</v>
      </c>
      <c r="F35" t="str">
        <f t="shared" ref="F35:F66" si="47">VLOOKUP(ServiceCode,DiabetesFeeSchedule,5,FALSE)</f>
        <v>Medical Supplies</v>
      </c>
      <c r="G35" t="str">
        <f t="shared" ref="G35:G66" si="48">VLOOKUP(BenefitCategory,BenefitDesignTable,COLUMN(BenefitCostSharing),FALSE)</f>
        <v>Plan Deductible Only</v>
      </c>
      <c r="H35" s="109">
        <f t="shared" ref="H35:H66" si="49">VLOOKUP(ServiceCode,DiabetesFeeSchedule,7,FALSE)</f>
        <v>10.38</v>
      </c>
      <c r="I35" s="109">
        <f t="shared" ref="I35:I66" si="50">IF(CostSharingType="Not Covered",AllowedAmt,0)</f>
        <v>0</v>
      </c>
      <c r="J35" s="109">
        <f t="shared" ref="J35:J66" si="51">IF((NotCoveredAmt+AmtExceedMonthLimit+AmtExceedAnnualLimit)&gt;0,0,AllowedAmt)</f>
        <v>10.38</v>
      </c>
      <c r="K35" s="5" t="str">
        <f t="shared" ref="K35:K66" si="52">VLOOKUP(BenefitCategory,BenefitDesignTable,COLUMN(BenefitLimithMonth),FALSE)</f>
        <v>None</v>
      </c>
      <c r="L35">
        <f t="shared" ref="L35:L66" si="53">COUNTIFS(ServiceCode,ServiceCode,ClaimMonth,ClaimMonth,ClaimNumber,"&lt;"&amp;ClaimNumber)</f>
        <v>0</v>
      </c>
      <c r="M35" s="3">
        <f t="shared" ref="M35:M66" si="54">IF(MonthLimit=0,0,IF(PriorUseMonth&gt;=MonthLimit,AllowedAmt,0))</f>
        <v>0</v>
      </c>
      <c r="N35" s="5" t="str">
        <f t="shared" ref="N35:N66" si="55">VLOOKUP(BenefitCategory,BenefitDesignTable,COLUMN(BenefitLimitAnnual),FALSE)</f>
        <v>None</v>
      </c>
      <c r="O35">
        <f t="shared" ref="O35:O66" si="56">COUNTIFS(ServiceCode,ServiceCode,ClaimNumber,"&lt;"&amp;ClaimNumber)</f>
        <v>1</v>
      </c>
      <c r="P35" s="3">
        <f t="shared" ref="P35:P66" si="57">IF(AnnualLimit=0,0,IF(PriorUseAnnual&gt;=AnnualLimit,AllowedAmt,0))</f>
        <v>0</v>
      </c>
      <c r="Q35" s="8">
        <f t="shared" si="12"/>
        <v>0</v>
      </c>
      <c r="R35" s="16">
        <f t="shared" si="13"/>
        <v>0</v>
      </c>
      <c r="S35" s="8">
        <f t="shared" si="14"/>
        <v>0</v>
      </c>
      <c r="T35" s="8">
        <f t="shared" ref="T35:T66" si="58">IF((CoveredAmt-CoPayAmount-CoInsAmount)&lt;0,0,CoveredAmt-CoPayAmount-CoInsAmount)</f>
        <v>10.38</v>
      </c>
      <c r="U35" s="5" t="b">
        <f t="shared" si="16"/>
        <v>1</v>
      </c>
      <c r="V35" s="8">
        <f t="shared" ref="V35:V66" si="59">MAX(0,VLOOKUP(BenefitCategory,BenefitDesignTable,COLUMN(PlanDeductible),FALSE)-SUMIFS(AllowedAmtAfterCopayCoins,PlanDeductibleApplies,TRUE,ClaimNumber,"&lt;"&amp;ClaimNumber))</f>
        <v>351.18000000000006</v>
      </c>
      <c r="W35" s="8">
        <f t="shared" ref="W35:W66" si="60">IF(AllowedAmtAfterCopayCoins&lt;RemainingPlanDeduc,AllowedAmtAfterCopayCoins,RemainingPlanDeduc)</f>
        <v>10.38</v>
      </c>
      <c r="X35" s="5" t="b">
        <f t="shared" si="19"/>
        <v>0</v>
      </c>
      <c r="Y35" s="8">
        <f t="shared" ref="Y35:Y66" si="61">MAX(0,VLOOKUP(BenefitCategory,BenefitDesignTable,COLUMN(RxDeductible),FALSE)-SUMIFS(AllowedAmtAfterCopayCoins,RxDeductibleApplies,TRUE,ClaimNumber,"&lt;"&amp;ClaimNumber))</f>
        <v>0</v>
      </c>
      <c r="Z35" s="8">
        <f t="shared" ref="Z35:Z66" si="62">IF(AllowedAmtAfterCopayCoins&lt;RemainingRxDeduc,AllowedAmtAfterCopayCoins,RemainingRxDeduc)</f>
        <v>0</v>
      </c>
      <c r="AA35" s="5" t="b">
        <f t="shared" si="22"/>
        <v>0</v>
      </c>
      <c r="AB35" s="8">
        <f t="shared" ref="AB35:AB66" si="63">MAX(0,VLOOKUP(BenefitCategory,BenefitDesignTable,COLUMN(OptDeductibleC),FALSE)-SUMIFS(AllowedAmtAfterCopayCoins,DeductibleCApplies,TRUE,ClaimNumber,"&lt;"&amp;ClaimNumber))</f>
        <v>0</v>
      </c>
      <c r="AC35" s="8">
        <f t="shared" ref="AC35:AC66" si="64">IF(AllowedAmtAfterCopayCoins&lt;RemainingDeductibleC,AllowedAmtAfterCopayCoins,RemainingDeductibleC)</f>
        <v>0</v>
      </c>
      <c r="AD35" s="5" t="b">
        <f t="shared" ref="AD35:AD66" si="65">VLOOKUP(BenefitCategory,BenefitDesignTable,COLUMN(OptDeductibleD),FALSE)&gt;0</f>
        <v>0</v>
      </c>
      <c r="AE35" s="8">
        <f t="shared" ref="AE35:AE66" si="66">MAX(0,VLOOKUP(BenefitCategory,BenefitDesignTable,COLUMN(OptDeductibleD),FALSE)-SUMIFS(AllowedAmtAfterCopayCoins,DeductibleDApplies,TRUE,ClaimNumber,"&lt;"&amp;ClaimNumber))</f>
        <v>0</v>
      </c>
      <c r="AF35" s="8">
        <f t="shared" ref="AF35:AF66" si="67">IF(AllowedAmtAfterCopayCoins&lt;RemainingDeductibleD,AllowedAmtAfterCopayCoins,RemainingDeductibleD)</f>
        <v>0</v>
      </c>
      <c r="AG35" s="5" t="b">
        <f t="shared" si="28"/>
        <v>0</v>
      </c>
      <c r="AH35" s="8">
        <f t="shared" ref="AH35:AH66" si="68">MAX(0,VLOOKUP(BenefitCategory,BenefitDesignTable,COLUMN(BenefitDeductible),FALSE)-SUMIFS(AllowedAmtAfterCopayCoins,BenefitCategory,BenefitCategory,ClaimNumber,"&lt;"&amp;ClaimNumber))</f>
        <v>0</v>
      </c>
      <c r="AI35" s="8">
        <f t="shared" ref="AI35:AI66" si="69">IF(AllowedAmtAfterCopayCoins&lt;RemainingBenefitDeduc,AllowedAmtAfterCopayCoins,RemainingBenefitDeduc)</f>
        <v>0</v>
      </c>
      <c r="AJ35" s="24">
        <f t="shared" ref="AJ35:AJ66" si="70">PlanDeductiblePayment+RxDeductiblePayment+DeductibleCPayment+DeductibleDPayment+BenefitDeductiblePayment</f>
        <v>10.38</v>
      </c>
      <c r="AK35" s="8">
        <f t="shared" si="32"/>
        <v>0</v>
      </c>
      <c r="AL35" s="8">
        <f t="shared" si="33"/>
        <v>10.38</v>
      </c>
      <c r="AM35" s="183" t="b">
        <f t="shared" si="34"/>
        <v>1</v>
      </c>
      <c r="AN35" s="8">
        <f t="shared" si="35"/>
        <v>10.38</v>
      </c>
      <c r="AO35" s="54">
        <f t="shared" si="36"/>
        <v>4041.18</v>
      </c>
      <c r="AP35" s="8">
        <f t="shared" si="37"/>
        <v>10.38</v>
      </c>
      <c r="AQ35" s="8">
        <f t="shared" si="45"/>
        <v>0</v>
      </c>
      <c r="AR35" s="106">
        <f t="shared" ref="AR35:AR66" si="71">NotCoveredAmt</f>
        <v>0</v>
      </c>
      <c r="AS35" s="106">
        <f t="shared" ref="AS35:AS66" si="72">AmtExceedMonthLimit+AmtExceedAnnualLimit</f>
        <v>0</v>
      </c>
      <c r="AT35" s="106">
        <f t="shared" ref="AT35:AT66" si="73">IF(CoPayAmount&lt;SubscriberPaymentAfterOPL,CoPayAmount,SubscriberPaymentAfterOPL)</f>
        <v>0</v>
      </c>
      <c r="AU35" s="106">
        <f t="shared" ref="AU35:AU66" si="74">IF(CoInsAmount&lt;SubscriberPaymentAfterOPL,CoInsAmount,SubscriberPaymentAfterOPL)</f>
        <v>0</v>
      </c>
      <c r="AV35" s="106">
        <f t="shared" ref="AV35:AV66" si="75">IF(PaymentTowardDeductibles&lt;(SubscriberPaymentAfterOPL-CoPayAmount-CoInsAmount),(SubscriberPaymentAfterOPL-CoPayAmount-CoInsAmount),PaymentTowardDeductibles)</f>
        <v>10.38</v>
      </c>
      <c r="AW35" t="b">
        <f t="shared" ref="AW35:AW66" si="76">SUM(AS35:AV35)=AP35</f>
        <v>1</v>
      </c>
      <c r="AX35" t="b">
        <f t="shared" ref="AX35:AX66" si="77">SUM(AQ35:AV35)=H35</f>
        <v>1</v>
      </c>
    </row>
    <row r="36" spans="1:50" x14ac:dyDescent="0.25">
      <c r="A36" s="1">
        <v>34</v>
      </c>
      <c r="B36" s="10">
        <v>40596</v>
      </c>
      <c r="C36" s="5">
        <v>2</v>
      </c>
      <c r="D36" s="13">
        <v>4</v>
      </c>
      <c r="E36" s="57" t="str">
        <f t="shared" si="46"/>
        <v xml:space="preserve">OneTouch Ultra Blue Test Strips (Rx - box of 100) [usage = 2 strips/day; 60 per month] </v>
      </c>
      <c r="F36" t="str">
        <f t="shared" si="47"/>
        <v>Medical Supplies</v>
      </c>
      <c r="G36" t="str">
        <f t="shared" si="48"/>
        <v>Plan Deductible Only</v>
      </c>
      <c r="H36" s="109">
        <f t="shared" si="49"/>
        <v>125.26</v>
      </c>
      <c r="I36" s="109">
        <f t="shared" si="50"/>
        <v>0</v>
      </c>
      <c r="J36" s="109">
        <f t="shared" si="51"/>
        <v>125.26</v>
      </c>
      <c r="K36" s="5" t="str">
        <f t="shared" si="52"/>
        <v>None</v>
      </c>
      <c r="L36">
        <f t="shared" si="53"/>
        <v>0</v>
      </c>
      <c r="M36" s="3">
        <f t="shared" si="54"/>
        <v>0</v>
      </c>
      <c r="N36" s="5" t="str">
        <f t="shared" si="55"/>
        <v>None</v>
      </c>
      <c r="O36">
        <f t="shared" si="56"/>
        <v>1</v>
      </c>
      <c r="P36" s="3">
        <f t="shared" si="57"/>
        <v>0</v>
      </c>
      <c r="Q36" s="8">
        <f t="shared" si="12"/>
        <v>0</v>
      </c>
      <c r="R36" s="16">
        <f t="shared" si="13"/>
        <v>0</v>
      </c>
      <c r="S36" s="8">
        <f t="shared" si="14"/>
        <v>0</v>
      </c>
      <c r="T36" s="8">
        <f t="shared" si="58"/>
        <v>125.26</v>
      </c>
      <c r="U36" s="5" t="b">
        <f t="shared" si="16"/>
        <v>1</v>
      </c>
      <c r="V36" s="8">
        <f t="shared" si="59"/>
        <v>340.80000000000007</v>
      </c>
      <c r="W36" s="8">
        <f t="shared" si="60"/>
        <v>125.26</v>
      </c>
      <c r="X36" s="5" t="b">
        <f t="shared" si="19"/>
        <v>0</v>
      </c>
      <c r="Y36" s="8">
        <f t="shared" si="61"/>
        <v>0</v>
      </c>
      <c r="Z36" s="8">
        <f t="shared" si="62"/>
        <v>0</v>
      </c>
      <c r="AA36" s="5" t="b">
        <f t="shared" si="22"/>
        <v>0</v>
      </c>
      <c r="AB36" s="8">
        <f t="shared" si="63"/>
        <v>0</v>
      </c>
      <c r="AC36" s="8">
        <f t="shared" si="64"/>
        <v>0</v>
      </c>
      <c r="AD36" s="5" t="b">
        <f t="shared" si="65"/>
        <v>0</v>
      </c>
      <c r="AE36" s="8">
        <f t="shared" si="66"/>
        <v>0</v>
      </c>
      <c r="AF36" s="8">
        <f t="shared" si="67"/>
        <v>0</v>
      </c>
      <c r="AG36" s="5" t="b">
        <f t="shared" si="28"/>
        <v>0</v>
      </c>
      <c r="AH36" s="8">
        <f t="shared" si="68"/>
        <v>0</v>
      </c>
      <c r="AI36" s="8">
        <f t="shared" si="69"/>
        <v>0</v>
      </c>
      <c r="AJ36" s="24">
        <f t="shared" si="70"/>
        <v>125.26</v>
      </c>
      <c r="AK36" s="8">
        <f t="shared" si="32"/>
        <v>0</v>
      </c>
      <c r="AL36" s="8">
        <f t="shared" si="33"/>
        <v>125.26</v>
      </c>
      <c r="AM36" s="183" t="b">
        <f t="shared" si="34"/>
        <v>1</v>
      </c>
      <c r="AN36" s="8">
        <f t="shared" si="35"/>
        <v>125.26</v>
      </c>
      <c r="AO36" s="54">
        <f t="shared" si="36"/>
        <v>4030.8</v>
      </c>
      <c r="AP36" s="8">
        <f t="shared" si="37"/>
        <v>125.26</v>
      </c>
      <c r="AQ36" s="8">
        <f t="shared" ref="AQ36:AQ67" si="78">IF(CoveredAmt&lt;SubscriberPaymentAfterOPL,0,CoveredAmt-SubscriberPaymentAfterOPL)</f>
        <v>0</v>
      </c>
      <c r="AR36" s="106">
        <f t="shared" si="71"/>
        <v>0</v>
      </c>
      <c r="AS36" s="106">
        <f t="shared" si="72"/>
        <v>0</v>
      </c>
      <c r="AT36" s="106">
        <f t="shared" si="73"/>
        <v>0</v>
      </c>
      <c r="AU36" s="106">
        <f t="shared" si="74"/>
        <v>0</v>
      </c>
      <c r="AV36" s="106">
        <f t="shared" si="75"/>
        <v>125.26</v>
      </c>
      <c r="AW36" t="b">
        <f t="shared" si="76"/>
        <v>1</v>
      </c>
      <c r="AX36" t="b">
        <f t="shared" si="77"/>
        <v>1</v>
      </c>
    </row>
    <row r="37" spans="1:50" x14ac:dyDescent="0.25">
      <c r="A37" s="1">
        <v>35</v>
      </c>
      <c r="B37" s="10">
        <v>40602</v>
      </c>
      <c r="C37" s="5">
        <v>2</v>
      </c>
      <c r="D37" s="13">
        <v>17</v>
      </c>
      <c r="E37" s="57" t="str">
        <f t="shared" si="46"/>
        <v>Insulin glargine 100 unit/ml injectable solution (Rx - 10ml vial)  [20 units QD; expires 28 days after first use]</v>
      </c>
      <c r="F37" t="str">
        <f t="shared" si="47"/>
        <v>Prescription Drugs: Branded</v>
      </c>
      <c r="G37" t="str">
        <f t="shared" si="48"/>
        <v>Rx Deductible+Co-pay</v>
      </c>
      <c r="H37" s="109">
        <f t="shared" si="49"/>
        <v>275.51</v>
      </c>
      <c r="I37" s="109">
        <f t="shared" si="50"/>
        <v>0</v>
      </c>
      <c r="J37" s="109">
        <f t="shared" si="51"/>
        <v>275.51</v>
      </c>
      <c r="K37" s="5" t="str">
        <f t="shared" si="52"/>
        <v>None</v>
      </c>
      <c r="L37">
        <f t="shared" si="53"/>
        <v>0</v>
      </c>
      <c r="M37" s="3">
        <f t="shared" si="54"/>
        <v>0</v>
      </c>
      <c r="N37" s="5" t="str">
        <f t="shared" si="55"/>
        <v>None</v>
      </c>
      <c r="O37">
        <f t="shared" si="56"/>
        <v>2</v>
      </c>
      <c r="P37" s="3">
        <f t="shared" si="57"/>
        <v>0</v>
      </c>
      <c r="Q37" s="8">
        <f t="shared" si="12"/>
        <v>30</v>
      </c>
      <c r="R37" s="16">
        <f t="shared" si="13"/>
        <v>0</v>
      </c>
      <c r="S37" s="8">
        <f t="shared" si="14"/>
        <v>0</v>
      </c>
      <c r="T37" s="8">
        <f t="shared" si="58"/>
        <v>245.51</v>
      </c>
      <c r="U37" s="5" t="b">
        <f t="shared" si="16"/>
        <v>0</v>
      </c>
      <c r="V37" s="8">
        <f t="shared" si="59"/>
        <v>0</v>
      </c>
      <c r="W37" s="8">
        <f t="shared" si="60"/>
        <v>0</v>
      </c>
      <c r="X37" s="5" t="b">
        <f t="shared" si="19"/>
        <v>1</v>
      </c>
      <c r="Y37" s="8">
        <f t="shared" si="61"/>
        <v>0</v>
      </c>
      <c r="Z37" s="8">
        <f t="shared" si="62"/>
        <v>0</v>
      </c>
      <c r="AA37" s="5" t="b">
        <f t="shared" si="22"/>
        <v>0</v>
      </c>
      <c r="AB37" s="8">
        <f t="shared" si="63"/>
        <v>0</v>
      </c>
      <c r="AC37" s="8">
        <f t="shared" si="64"/>
        <v>0</v>
      </c>
      <c r="AD37" s="5" t="b">
        <f t="shared" si="65"/>
        <v>0</v>
      </c>
      <c r="AE37" s="8">
        <f t="shared" si="66"/>
        <v>0</v>
      </c>
      <c r="AF37" s="8">
        <f t="shared" si="67"/>
        <v>0</v>
      </c>
      <c r="AG37" s="5" t="b">
        <f t="shared" si="28"/>
        <v>0</v>
      </c>
      <c r="AH37" s="8">
        <f t="shared" si="68"/>
        <v>0</v>
      </c>
      <c r="AI37" s="8">
        <f t="shared" si="69"/>
        <v>0</v>
      </c>
      <c r="AJ37" s="24">
        <f t="shared" si="70"/>
        <v>0</v>
      </c>
      <c r="AK37" s="8">
        <f t="shared" si="32"/>
        <v>275.51</v>
      </c>
      <c r="AL37" s="8">
        <f t="shared" si="33"/>
        <v>30</v>
      </c>
      <c r="AM37" s="183" t="b">
        <f t="shared" si="34"/>
        <v>1</v>
      </c>
      <c r="AN37" s="8">
        <f t="shared" si="35"/>
        <v>30</v>
      </c>
      <c r="AO37" s="54">
        <f t="shared" si="36"/>
        <v>3905.54</v>
      </c>
      <c r="AP37" s="8">
        <f t="shared" si="37"/>
        <v>30</v>
      </c>
      <c r="AQ37" s="8">
        <f t="shared" si="78"/>
        <v>245.51</v>
      </c>
      <c r="AR37" s="106">
        <f t="shared" si="71"/>
        <v>0</v>
      </c>
      <c r="AS37" s="106">
        <f t="shared" si="72"/>
        <v>0</v>
      </c>
      <c r="AT37" s="106">
        <f t="shared" si="73"/>
        <v>30</v>
      </c>
      <c r="AU37" s="106">
        <f t="shared" si="74"/>
        <v>0</v>
      </c>
      <c r="AV37" s="106">
        <f t="shared" si="75"/>
        <v>0</v>
      </c>
      <c r="AW37" t="b">
        <f t="shared" si="76"/>
        <v>1</v>
      </c>
      <c r="AX37" t="b">
        <f t="shared" si="77"/>
        <v>1</v>
      </c>
    </row>
    <row r="38" spans="1:50" x14ac:dyDescent="0.25">
      <c r="A38" s="1">
        <v>36</v>
      </c>
      <c r="B38" s="10">
        <v>40606</v>
      </c>
      <c r="C38" s="5">
        <v>3</v>
      </c>
      <c r="D38" s="13">
        <v>25</v>
      </c>
      <c r="E38" s="57" t="str">
        <f t="shared" si="46"/>
        <v>Alcohol swabs (OTC - box of 100)  [usage = 3 wipes/day; 90 wipes/month]</v>
      </c>
      <c r="F38" t="str">
        <f t="shared" si="47"/>
        <v>Over-the-counter Drugs</v>
      </c>
      <c r="G38" t="str">
        <f t="shared" si="48"/>
        <v>Not Covered</v>
      </c>
      <c r="H38" s="109">
        <f t="shared" si="49"/>
        <v>2.6074999999999999</v>
      </c>
      <c r="I38" s="109">
        <f t="shared" si="50"/>
        <v>2.6074999999999999</v>
      </c>
      <c r="J38" s="109">
        <f t="shared" si="51"/>
        <v>0</v>
      </c>
      <c r="K38" s="5" t="str">
        <f t="shared" si="52"/>
        <v>None</v>
      </c>
      <c r="L38">
        <f t="shared" si="53"/>
        <v>0</v>
      </c>
      <c r="M38" s="3">
        <f t="shared" si="54"/>
        <v>0</v>
      </c>
      <c r="N38" s="5" t="str">
        <f t="shared" si="55"/>
        <v>None</v>
      </c>
      <c r="O38">
        <f t="shared" si="56"/>
        <v>2</v>
      </c>
      <c r="P38" s="3">
        <f t="shared" si="57"/>
        <v>0</v>
      </c>
      <c r="Q38" s="8">
        <f t="shared" si="12"/>
        <v>0</v>
      </c>
      <c r="R38" s="16">
        <f t="shared" si="13"/>
        <v>0</v>
      </c>
      <c r="S38" s="8">
        <f t="shared" si="14"/>
        <v>0</v>
      </c>
      <c r="T38" s="8">
        <f t="shared" si="58"/>
        <v>0</v>
      </c>
      <c r="U38" s="5" t="b">
        <f t="shared" si="16"/>
        <v>0</v>
      </c>
      <c r="V38" s="8">
        <f t="shared" si="59"/>
        <v>0</v>
      </c>
      <c r="W38" s="8">
        <f t="shared" si="60"/>
        <v>0</v>
      </c>
      <c r="X38" s="5" t="b">
        <f t="shared" si="19"/>
        <v>0</v>
      </c>
      <c r="Y38" s="8">
        <f t="shared" si="61"/>
        <v>0</v>
      </c>
      <c r="Z38" s="8">
        <f t="shared" si="62"/>
        <v>0</v>
      </c>
      <c r="AA38" s="5" t="b">
        <f t="shared" si="22"/>
        <v>0</v>
      </c>
      <c r="AB38" s="8">
        <f t="shared" si="63"/>
        <v>0</v>
      </c>
      <c r="AC38" s="8">
        <f t="shared" si="64"/>
        <v>0</v>
      </c>
      <c r="AD38" s="5" t="b">
        <f t="shared" si="65"/>
        <v>0</v>
      </c>
      <c r="AE38" s="8">
        <f t="shared" si="66"/>
        <v>0</v>
      </c>
      <c r="AF38" s="8">
        <f t="shared" si="67"/>
        <v>0</v>
      </c>
      <c r="AG38" s="5" t="b">
        <f t="shared" si="28"/>
        <v>0</v>
      </c>
      <c r="AH38" s="8">
        <f t="shared" si="68"/>
        <v>0</v>
      </c>
      <c r="AI38" s="8">
        <f t="shared" si="69"/>
        <v>0</v>
      </c>
      <c r="AJ38" s="24">
        <f t="shared" si="70"/>
        <v>0</v>
      </c>
      <c r="AK38" s="8">
        <f t="shared" si="32"/>
        <v>0</v>
      </c>
      <c r="AL38" s="8">
        <f t="shared" si="33"/>
        <v>0</v>
      </c>
      <c r="AM38" s="183" t="b">
        <f t="shared" si="34"/>
        <v>0</v>
      </c>
      <c r="AN38" s="8">
        <f t="shared" si="35"/>
        <v>0</v>
      </c>
      <c r="AO38" s="54">
        <f t="shared" si="36"/>
        <v>0</v>
      </c>
      <c r="AP38" s="8">
        <f t="shared" si="37"/>
        <v>0</v>
      </c>
      <c r="AQ38" s="8">
        <f t="shared" si="78"/>
        <v>0</v>
      </c>
      <c r="AR38" s="106">
        <f t="shared" si="71"/>
        <v>2.6074999999999999</v>
      </c>
      <c r="AS38" s="106">
        <f t="shared" si="72"/>
        <v>0</v>
      </c>
      <c r="AT38" s="106">
        <f t="shared" si="73"/>
        <v>0</v>
      </c>
      <c r="AU38" s="106">
        <f t="shared" si="74"/>
        <v>0</v>
      </c>
      <c r="AV38" s="106">
        <f t="shared" si="75"/>
        <v>0</v>
      </c>
      <c r="AW38" t="b">
        <f t="shared" si="76"/>
        <v>1</v>
      </c>
      <c r="AX38" t="b">
        <f t="shared" si="77"/>
        <v>1</v>
      </c>
    </row>
    <row r="39" spans="1:50" x14ac:dyDescent="0.25">
      <c r="A39" s="1">
        <v>37</v>
      </c>
      <c r="B39" s="10">
        <v>40606</v>
      </c>
      <c r="C39" s="5">
        <v>3</v>
      </c>
      <c r="D39" s="13">
        <v>14</v>
      </c>
      <c r="E39" s="57" t="str">
        <f t="shared" si="46"/>
        <v>BD Ultrafine Insulin Syringes / 30G/ 0.5cc  [usage = 30 syringes per month]</v>
      </c>
      <c r="F39" t="str">
        <f t="shared" si="47"/>
        <v>Medical Supplies</v>
      </c>
      <c r="G39" t="str">
        <f t="shared" si="48"/>
        <v>Plan Deductible Only</v>
      </c>
      <c r="H39" s="109">
        <f t="shared" si="49"/>
        <v>42.66</v>
      </c>
      <c r="I39" s="109">
        <f t="shared" si="50"/>
        <v>0</v>
      </c>
      <c r="J39" s="109">
        <f t="shared" si="51"/>
        <v>42.66</v>
      </c>
      <c r="K39" s="5" t="str">
        <f t="shared" si="52"/>
        <v>None</v>
      </c>
      <c r="L39">
        <f t="shared" si="53"/>
        <v>0</v>
      </c>
      <c r="M39" s="3">
        <f t="shared" si="54"/>
        <v>0</v>
      </c>
      <c r="N39" s="5" t="str">
        <f t="shared" si="55"/>
        <v>None</v>
      </c>
      <c r="O39">
        <f t="shared" si="56"/>
        <v>2</v>
      </c>
      <c r="P39" s="3">
        <f t="shared" si="57"/>
        <v>0</v>
      </c>
      <c r="Q39" s="8">
        <f t="shared" si="12"/>
        <v>0</v>
      </c>
      <c r="R39" s="16">
        <f t="shared" si="13"/>
        <v>0</v>
      </c>
      <c r="S39" s="8">
        <f t="shared" si="14"/>
        <v>0</v>
      </c>
      <c r="T39" s="8">
        <f t="shared" si="58"/>
        <v>42.66</v>
      </c>
      <c r="U39" s="5" t="b">
        <f t="shared" si="16"/>
        <v>1</v>
      </c>
      <c r="V39" s="8">
        <f t="shared" si="59"/>
        <v>215.54000000000008</v>
      </c>
      <c r="W39" s="8">
        <f t="shared" si="60"/>
        <v>42.66</v>
      </c>
      <c r="X39" s="5" t="b">
        <f t="shared" si="19"/>
        <v>0</v>
      </c>
      <c r="Y39" s="8">
        <f t="shared" si="61"/>
        <v>0</v>
      </c>
      <c r="Z39" s="8">
        <f t="shared" si="62"/>
        <v>0</v>
      </c>
      <c r="AA39" s="5" t="b">
        <f t="shared" si="22"/>
        <v>0</v>
      </c>
      <c r="AB39" s="8">
        <f t="shared" si="63"/>
        <v>0</v>
      </c>
      <c r="AC39" s="8">
        <f t="shared" si="64"/>
        <v>0</v>
      </c>
      <c r="AD39" s="5" t="b">
        <f t="shared" si="65"/>
        <v>0</v>
      </c>
      <c r="AE39" s="8">
        <f t="shared" si="66"/>
        <v>0</v>
      </c>
      <c r="AF39" s="8">
        <f t="shared" si="67"/>
        <v>0</v>
      </c>
      <c r="AG39" s="5" t="b">
        <f t="shared" si="28"/>
        <v>0</v>
      </c>
      <c r="AH39" s="8">
        <f t="shared" si="68"/>
        <v>0</v>
      </c>
      <c r="AI39" s="8">
        <f t="shared" si="69"/>
        <v>0</v>
      </c>
      <c r="AJ39" s="24">
        <f t="shared" si="70"/>
        <v>42.66</v>
      </c>
      <c r="AK39" s="8">
        <f t="shared" si="32"/>
        <v>0</v>
      </c>
      <c r="AL39" s="8">
        <f t="shared" si="33"/>
        <v>42.66</v>
      </c>
      <c r="AM39" s="183" t="b">
        <f t="shared" si="34"/>
        <v>1</v>
      </c>
      <c r="AN39" s="8">
        <f t="shared" si="35"/>
        <v>42.66</v>
      </c>
      <c r="AO39" s="54">
        <f t="shared" si="36"/>
        <v>3875.54</v>
      </c>
      <c r="AP39" s="8">
        <f t="shared" si="37"/>
        <v>42.66</v>
      </c>
      <c r="AQ39" s="8">
        <f t="shared" si="78"/>
        <v>0</v>
      </c>
      <c r="AR39" s="106">
        <f t="shared" si="71"/>
        <v>0</v>
      </c>
      <c r="AS39" s="106">
        <f t="shared" si="72"/>
        <v>0</v>
      </c>
      <c r="AT39" s="106">
        <f t="shared" si="73"/>
        <v>0</v>
      </c>
      <c r="AU39" s="106">
        <f t="shared" si="74"/>
        <v>0</v>
      </c>
      <c r="AV39" s="106">
        <f t="shared" si="75"/>
        <v>42.66</v>
      </c>
      <c r="AW39" t="b">
        <f t="shared" si="76"/>
        <v>1</v>
      </c>
      <c r="AX39" t="b">
        <f t="shared" si="77"/>
        <v>1</v>
      </c>
    </row>
    <row r="40" spans="1:50" x14ac:dyDescent="0.25">
      <c r="A40" s="1">
        <v>38</v>
      </c>
      <c r="B40" s="10">
        <v>40606</v>
      </c>
      <c r="C40" s="5">
        <v>3</v>
      </c>
      <c r="D40" s="13">
        <v>32</v>
      </c>
      <c r="E40" s="57" t="str">
        <f t="shared" si="46"/>
        <v>METFORMIN HCL 850 MG TABLET</v>
      </c>
      <c r="F40" t="str">
        <f t="shared" si="47"/>
        <v>Prescription Drugs: Generic</v>
      </c>
      <c r="G40" t="str">
        <f t="shared" si="48"/>
        <v>Rx Deductible+Co-pay</v>
      </c>
      <c r="H40" s="109">
        <f t="shared" si="49"/>
        <v>9.19</v>
      </c>
      <c r="I40" s="109">
        <f t="shared" si="50"/>
        <v>0</v>
      </c>
      <c r="J40" s="109">
        <f t="shared" si="51"/>
        <v>9.19</v>
      </c>
      <c r="K40" s="5" t="str">
        <f t="shared" si="52"/>
        <v>None</v>
      </c>
      <c r="L40">
        <f t="shared" si="53"/>
        <v>0</v>
      </c>
      <c r="M40" s="3">
        <f t="shared" si="54"/>
        <v>0</v>
      </c>
      <c r="N40" s="5" t="str">
        <f t="shared" si="55"/>
        <v>None</v>
      </c>
      <c r="O40">
        <f t="shared" si="56"/>
        <v>2</v>
      </c>
      <c r="P40" s="3">
        <f t="shared" si="57"/>
        <v>0</v>
      </c>
      <c r="Q40" s="8">
        <f t="shared" si="12"/>
        <v>10</v>
      </c>
      <c r="R40" s="16">
        <f t="shared" si="13"/>
        <v>0</v>
      </c>
      <c r="S40" s="8">
        <f t="shared" si="14"/>
        <v>0</v>
      </c>
      <c r="T40" s="8">
        <f t="shared" si="58"/>
        <v>0</v>
      </c>
      <c r="U40" s="5" t="b">
        <f t="shared" si="16"/>
        <v>0</v>
      </c>
      <c r="V40" s="8">
        <f t="shared" si="59"/>
        <v>0</v>
      </c>
      <c r="W40" s="8">
        <f t="shared" si="60"/>
        <v>0</v>
      </c>
      <c r="X40" s="5" t="b">
        <f t="shared" si="19"/>
        <v>1</v>
      </c>
      <c r="Y40" s="8">
        <f t="shared" si="61"/>
        <v>0</v>
      </c>
      <c r="Z40" s="8">
        <f t="shared" si="62"/>
        <v>0</v>
      </c>
      <c r="AA40" s="5" t="b">
        <f t="shared" si="22"/>
        <v>0</v>
      </c>
      <c r="AB40" s="8">
        <f t="shared" si="63"/>
        <v>0</v>
      </c>
      <c r="AC40" s="8">
        <f t="shared" si="64"/>
        <v>0</v>
      </c>
      <c r="AD40" s="5" t="b">
        <f t="shared" si="65"/>
        <v>0</v>
      </c>
      <c r="AE40" s="8">
        <f t="shared" si="66"/>
        <v>0</v>
      </c>
      <c r="AF40" s="8">
        <f t="shared" si="67"/>
        <v>0</v>
      </c>
      <c r="AG40" s="5" t="b">
        <f t="shared" si="28"/>
        <v>0</v>
      </c>
      <c r="AH40" s="8">
        <f t="shared" si="68"/>
        <v>0</v>
      </c>
      <c r="AI40" s="8">
        <f t="shared" si="69"/>
        <v>0</v>
      </c>
      <c r="AJ40" s="24">
        <f t="shared" si="70"/>
        <v>0</v>
      </c>
      <c r="AK40" s="8">
        <f t="shared" si="32"/>
        <v>9.19</v>
      </c>
      <c r="AL40" s="8">
        <f t="shared" si="33"/>
        <v>10</v>
      </c>
      <c r="AM40" s="183" t="b">
        <f t="shared" si="34"/>
        <v>1</v>
      </c>
      <c r="AN40" s="8">
        <f t="shared" si="35"/>
        <v>10</v>
      </c>
      <c r="AO40" s="54">
        <f t="shared" si="36"/>
        <v>3832.88</v>
      </c>
      <c r="AP40" s="8">
        <f t="shared" si="37"/>
        <v>10</v>
      </c>
      <c r="AQ40" s="8">
        <f t="shared" si="78"/>
        <v>0</v>
      </c>
      <c r="AR40" s="106">
        <f t="shared" si="71"/>
        <v>0</v>
      </c>
      <c r="AS40" s="106">
        <f t="shared" si="72"/>
        <v>0</v>
      </c>
      <c r="AT40" s="106">
        <f t="shared" si="73"/>
        <v>10</v>
      </c>
      <c r="AU40" s="106">
        <f t="shared" si="74"/>
        <v>0</v>
      </c>
      <c r="AV40" s="106">
        <f t="shared" si="75"/>
        <v>0</v>
      </c>
      <c r="AW40" t="b">
        <f t="shared" si="76"/>
        <v>1</v>
      </c>
      <c r="AX40" t="b">
        <f t="shared" si="77"/>
        <v>0</v>
      </c>
    </row>
    <row r="41" spans="1:50" x14ac:dyDescent="0.25">
      <c r="A41" s="1">
        <v>39</v>
      </c>
      <c r="B41" s="10">
        <v>40606</v>
      </c>
      <c r="C41" s="5">
        <v>3</v>
      </c>
      <c r="D41" s="13">
        <v>19</v>
      </c>
      <c r="E41" s="57" t="str">
        <f t="shared" si="46"/>
        <v>Ramipril 10mg (Rx) [1 QD; #30 pills/month]</v>
      </c>
      <c r="F41" t="str">
        <f t="shared" si="47"/>
        <v>Prescription Drugs: Generic</v>
      </c>
      <c r="G41" t="str">
        <f t="shared" si="48"/>
        <v>Rx Deductible+Co-pay</v>
      </c>
      <c r="H41" s="109">
        <f t="shared" si="49"/>
        <v>15.92</v>
      </c>
      <c r="I41" s="109">
        <f t="shared" si="50"/>
        <v>0</v>
      </c>
      <c r="J41" s="109">
        <f t="shared" si="51"/>
        <v>15.92</v>
      </c>
      <c r="K41" s="5" t="str">
        <f t="shared" si="52"/>
        <v>None</v>
      </c>
      <c r="L41">
        <f t="shared" si="53"/>
        <v>0</v>
      </c>
      <c r="M41" s="3">
        <f t="shared" si="54"/>
        <v>0</v>
      </c>
      <c r="N41" s="5" t="str">
        <f t="shared" si="55"/>
        <v>None</v>
      </c>
      <c r="O41">
        <f t="shared" si="56"/>
        <v>2</v>
      </c>
      <c r="P41" s="3">
        <f t="shared" si="57"/>
        <v>0</v>
      </c>
      <c r="Q41" s="8">
        <f t="shared" si="12"/>
        <v>10</v>
      </c>
      <c r="R41" s="16">
        <f t="shared" si="13"/>
        <v>0</v>
      </c>
      <c r="S41" s="8">
        <f t="shared" si="14"/>
        <v>0</v>
      </c>
      <c r="T41" s="8">
        <f t="shared" si="58"/>
        <v>5.92</v>
      </c>
      <c r="U41" s="5" t="b">
        <f t="shared" si="16"/>
        <v>0</v>
      </c>
      <c r="V41" s="8">
        <f t="shared" si="59"/>
        <v>0</v>
      </c>
      <c r="W41" s="8">
        <f t="shared" si="60"/>
        <v>0</v>
      </c>
      <c r="X41" s="5" t="b">
        <f t="shared" si="19"/>
        <v>1</v>
      </c>
      <c r="Y41" s="8">
        <f t="shared" si="61"/>
        <v>0</v>
      </c>
      <c r="Z41" s="8">
        <f t="shared" si="62"/>
        <v>0</v>
      </c>
      <c r="AA41" s="5" t="b">
        <f t="shared" si="22"/>
        <v>0</v>
      </c>
      <c r="AB41" s="8">
        <f t="shared" si="63"/>
        <v>0</v>
      </c>
      <c r="AC41" s="8">
        <f t="shared" si="64"/>
        <v>0</v>
      </c>
      <c r="AD41" s="5" t="b">
        <f t="shared" si="65"/>
        <v>0</v>
      </c>
      <c r="AE41" s="8">
        <f t="shared" si="66"/>
        <v>0</v>
      </c>
      <c r="AF41" s="8">
        <f t="shared" si="67"/>
        <v>0</v>
      </c>
      <c r="AG41" s="5" t="b">
        <f t="shared" si="28"/>
        <v>0</v>
      </c>
      <c r="AH41" s="8">
        <f t="shared" si="68"/>
        <v>0</v>
      </c>
      <c r="AI41" s="8">
        <f t="shared" si="69"/>
        <v>0</v>
      </c>
      <c r="AJ41" s="24">
        <f t="shared" si="70"/>
        <v>0</v>
      </c>
      <c r="AK41" s="8">
        <f t="shared" si="32"/>
        <v>15.92</v>
      </c>
      <c r="AL41" s="8">
        <f t="shared" si="33"/>
        <v>10</v>
      </c>
      <c r="AM41" s="183" t="b">
        <f t="shared" si="34"/>
        <v>1</v>
      </c>
      <c r="AN41" s="8">
        <f t="shared" si="35"/>
        <v>10</v>
      </c>
      <c r="AO41" s="54">
        <f t="shared" si="36"/>
        <v>3822.88</v>
      </c>
      <c r="AP41" s="8">
        <f t="shared" si="37"/>
        <v>10</v>
      </c>
      <c r="AQ41" s="8">
        <f t="shared" si="78"/>
        <v>5.92</v>
      </c>
      <c r="AR41" s="106">
        <f t="shared" si="71"/>
        <v>0</v>
      </c>
      <c r="AS41" s="106">
        <f t="shared" si="72"/>
        <v>0</v>
      </c>
      <c r="AT41" s="106">
        <f t="shared" si="73"/>
        <v>10</v>
      </c>
      <c r="AU41" s="106">
        <f t="shared" si="74"/>
        <v>0</v>
      </c>
      <c r="AV41" s="106">
        <f t="shared" si="75"/>
        <v>0</v>
      </c>
      <c r="AW41" t="b">
        <f t="shared" si="76"/>
        <v>1</v>
      </c>
      <c r="AX41" t="b">
        <f t="shared" si="77"/>
        <v>1</v>
      </c>
    </row>
    <row r="42" spans="1:50" x14ac:dyDescent="0.25">
      <c r="A42" s="1">
        <v>40</v>
      </c>
      <c r="B42" s="10">
        <v>40630</v>
      </c>
      <c r="C42" s="5">
        <v>3</v>
      </c>
      <c r="D42" s="13">
        <v>26</v>
      </c>
      <c r="E42" s="57" t="str">
        <f t="shared" si="46"/>
        <v>Aspirin 81mg (OTC - bottle 100) [usage = 1 QD; #30 pills per month]</v>
      </c>
      <c r="F42" t="str">
        <f t="shared" si="47"/>
        <v>Over-the-counter Drugs</v>
      </c>
      <c r="G42" t="str">
        <f t="shared" si="48"/>
        <v>Not Covered</v>
      </c>
      <c r="H42" s="109">
        <f t="shared" si="49"/>
        <v>4.2725</v>
      </c>
      <c r="I42" s="109">
        <f t="shared" si="50"/>
        <v>4.2725</v>
      </c>
      <c r="J42" s="109">
        <f t="shared" si="51"/>
        <v>0</v>
      </c>
      <c r="K42" s="5" t="str">
        <f t="shared" si="52"/>
        <v>None</v>
      </c>
      <c r="L42">
        <f t="shared" si="53"/>
        <v>0</v>
      </c>
      <c r="M42" s="3">
        <f t="shared" si="54"/>
        <v>0</v>
      </c>
      <c r="N42" s="5" t="str">
        <f t="shared" si="55"/>
        <v>None</v>
      </c>
      <c r="O42">
        <f t="shared" si="56"/>
        <v>1</v>
      </c>
      <c r="P42" s="3">
        <f t="shared" si="57"/>
        <v>0</v>
      </c>
      <c r="Q42" s="8">
        <f t="shared" si="12"/>
        <v>0</v>
      </c>
      <c r="R42" s="16">
        <f t="shared" si="13"/>
        <v>0</v>
      </c>
      <c r="S42" s="8">
        <f t="shared" si="14"/>
        <v>0</v>
      </c>
      <c r="T42" s="8">
        <f t="shared" si="58"/>
        <v>0</v>
      </c>
      <c r="U42" s="5" t="b">
        <f t="shared" si="16"/>
        <v>0</v>
      </c>
      <c r="V42" s="8">
        <f t="shared" si="59"/>
        <v>0</v>
      </c>
      <c r="W42" s="8">
        <f t="shared" si="60"/>
        <v>0</v>
      </c>
      <c r="X42" s="5" t="b">
        <f t="shared" si="19"/>
        <v>0</v>
      </c>
      <c r="Y42" s="8">
        <f t="shared" si="61"/>
        <v>0</v>
      </c>
      <c r="Z42" s="8">
        <f t="shared" si="62"/>
        <v>0</v>
      </c>
      <c r="AA42" s="5" t="b">
        <f t="shared" si="22"/>
        <v>0</v>
      </c>
      <c r="AB42" s="8">
        <f t="shared" si="63"/>
        <v>0</v>
      </c>
      <c r="AC42" s="8">
        <f t="shared" si="64"/>
        <v>0</v>
      </c>
      <c r="AD42" s="5" t="b">
        <f t="shared" si="65"/>
        <v>0</v>
      </c>
      <c r="AE42" s="8">
        <f t="shared" si="66"/>
        <v>0</v>
      </c>
      <c r="AF42" s="8">
        <f t="shared" si="67"/>
        <v>0</v>
      </c>
      <c r="AG42" s="5" t="b">
        <f t="shared" si="28"/>
        <v>0</v>
      </c>
      <c r="AH42" s="8">
        <f t="shared" si="68"/>
        <v>0</v>
      </c>
      <c r="AI42" s="8">
        <f t="shared" si="69"/>
        <v>0</v>
      </c>
      <c r="AJ42" s="24">
        <f t="shared" si="70"/>
        <v>0</v>
      </c>
      <c r="AK42" s="8">
        <f t="shared" si="32"/>
        <v>0</v>
      </c>
      <c r="AL42" s="8">
        <f t="shared" si="33"/>
        <v>0</v>
      </c>
      <c r="AM42" s="183" t="b">
        <f t="shared" si="34"/>
        <v>0</v>
      </c>
      <c r="AN42" s="8">
        <f t="shared" si="35"/>
        <v>0</v>
      </c>
      <c r="AO42" s="54">
        <f t="shared" si="36"/>
        <v>0</v>
      </c>
      <c r="AP42" s="8">
        <f t="shared" si="37"/>
        <v>0</v>
      </c>
      <c r="AQ42" s="8">
        <f t="shared" si="78"/>
        <v>0</v>
      </c>
      <c r="AR42" s="106">
        <f t="shared" si="71"/>
        <v>4.2725</v>
      </c>
      <c r="AS42" s="106">
        <f t="shared" si="72"/>
        <v>0</v>
      </c>
      <c r="AT42" s="106">
        <f t="shared" si="73"/>
        <v>0</v>
      </c>
      <c r="AU42" s="106">
        <f t="shared" si="74"/>
        <v>0</v>
      </c>
      <c r="AV42" s="106">
        <f t="shared" si="75"/>
        <v>0</v>
      </c>
      <c r="AW42" t="b">
        <f t="shared" si="76"/>
        <v>1</v>
      </c>
      <c r="AX42" t="b">
        <f t="shared" si="77"/>
        <v>1</v>
      </c>
    </row>
    <row r="43" spans="1:50" x14ac:dyDescent="0.25">
      <c r="A43" s="1">
        <v>41</v>
      </c>
      <c r="B43" s="10">
        <v>40630</v>
      </c>
      <c r="C43" s="5">
        <v>3</v>
      </c>
      <c r="D43" s="13">
        <v>17</v>
      </c>
      <c r="E43" s="57" t="str">
        <f t="shared" si="46"/>
        <v>Insulin glargine 100 unit/ml injectable solution (Rx - 10ml vial)  [20 units QD; expires 28 days after first use]</v>
      </c>
      <c r="F43" t="str">
        <f t="shared" si="47"/>
        <v>Prescription Drugs: Branded</v>
      </c>
      <c r="G43" t="str">
        <f t="shared" si="48"/>
        <v>Rx Deductible+Co-pay</v>
      </c>
      <c r="H43" s="109">
        <f t="shared" si="49"/>
        <v>275.51</v>
      </c>
      <c r="I43" s="109">
        <f t="shared" si="50"/>
        <v>0</v>
      </c>
      <c r="J43" s="109">
        <f t="shared" si="51"/>
        <v>275.51</v>
      </c>
      <c r="K43" s="5" t="str">
        <f t="shared" si="52"/>
        <v>None</v>
      </c>
      <c r="L43">
        <f t="shared" si="53"/>
        <v>0</v>
      </c>
      <c r="M43" s="3">
        <f t="shared" si="54"/>
        <v>0</v>
      </c>
      <c r="N43" s="5" t="str">
        <f t="shared" si="55"/>
        <v>None</v>
      </c>
      <c r="O43">
        <f t="shared" si="56"/>
        <v>3</v>
      </c>
      <c r="P43" s="3">
        <f t="shared" si="57"/>
        <v>0</v>
      </c>
      <c r="Q43" s="8">
        <f t="shared" si="12"/>
        <v>30</v>
      </c>
      <c r="R43" s="16">
        <f t="shared" si="13"/>
        <v>0</v>
      </c>
      <c r="S43" s="8">
        <f t="shared" si="14"/>
        <v>0</v>
      </c>
      <c r="T43" s="8">
        <f t="shared" si="58"/>
        <v>245.51</v>
      </c>
      <c r="U43" s="5" t="b">
        <f t="shared" si="16"/>
        <v>0</v>
      </c>
      <c r="V43" s="8">
        <f t="shared" si="59"/>
        <v>0</v>
      </c>
      <c r="W43" s="8">
        <f t="shared" si="60"/>
        <v>0</v>
      </c>
      <c r="X43" s="5" t="b">
        <f t="shared" si="19"/>
        <v>1</v>
      </c>
      <c r="Y43" s="8">
        <f t="shared" si="61"/>
        <v>0</v>
      </c>
      <c r="Z43" s="8">
        <f t="shared" si="62"/>
        <v>0</v>
      </c>
      <c r="AA43" s="5" t="b">
        <f t="shared" si="22"/>
        <v>0</v>
      </c>
      <c r="AB43" s="8">
        <f t="shared" si="63"/>
        <v>0</v>
      </c>
      <c r="AC43" s="8">
        <f t="shared" si="64"/>
        <v>0</v>
      </c>
      <c r="AD43" s="5" t="b">
        <f t="shared" si="65"/>
        <v>0</v>
      </c>
      <c r="AE43" s="8">
        <f t="shared" si="66"/>
        <v>0</v>
      </c>
      <c r="AF43" s="8">
        <f t="shared" si="67"/>
        <v>0</v>
      </c>
      <c r="AG43" s="5" t="b">
        <f t="shared" si="28"/>
        <v>0</v>
      </c>
      <c r="AH43" s="8">
        <f t="shared" si="68"/>
        <v>0</v>
      </c>
      <c r="AI43" s="8">
        <f t="shared" si="69"/>
        <v>0</v>
      </c>
      <c r="AJ43" s="24">
        <f t="shared" si="70"/>
        <v>0</v>
      </c>
      <c r="AK43" s="8">
        <f t="shared" si="32"/>
        <v>275.51</v>
      </c>
      <c r="AL43" s="8">
        <f t="shared" si="33"/>
        <v>30</v>
      </c>
      <c r="AM43" s="183" t="b">
        <f t="shared" si="34"/>
        <v>1</v>
      </c>
      <c r="AN43" s="8">
        <f t="shared" si="35"/>
        <v>30</v>
      </c>
      <c r="AO43" s="54">
        <f t="shared" si="36"/>
        <v>3812.88</v>
      </c>
      <c r="AP43" s="8">
        <f t="shared" si="37"/>
        <v>30</v>
      </c>
      <c r="AQ43" s="8">
        <f t="shared" si="78"/>
        <v>245.51</v>
      </c>
      <c r="AR43" s="106">
        <f t="shared" si="71"/>
        <v>0</v>
      </c>
      <c r="AS43" s="106">
        <f t="shared" si="72"/>
        <v>0</v>
      </c>
      <c r="AT43" s="106">
        <f t="shared" si="73"/>
        <v>30</v>
      </c>
      <c r="AU43" s="106">
        <f t="shared" si="74"/>
        <v>0</v>
      </c>
      <c r="AV43" s="106">
        <f t="shared" si="75"/>
        <v>0</v>
      </c>
      <c r="AW43" t="b">
        <f t="shared" si="76"/>
        <v>1</v>
      </c>
      <c r="AX43" t="b">
        <f t="shared" si="77"/>
        <v>1</v>
      </c>
    </row>
    <row r="44" spans="1:50" x14ac:dyDescent="0.25">
      <c r="A44" s="1">
        <v>42</v>
      </c>
      <c r="B44" s="10">
        <v>40630</v>
      </c>
      <c r="C44" s="5">
        <v>3</v>
      </c>
      <c r="D44" s="13">
        <v>24</v>
      </c>
      <c r="E44" s="57" t="str">
        <f t="shared" si="46"/>
        <v>Office/Outpatient Visit Est</v>
      </c>
      <c r="F44" t="str">
        <f t="shared" si="47"/>
        <v>Professional Services: Primary Care</v>
      </c>
      <c r="G44" t="str">
        <f t="shared" si="48"/>
        <v>Copayment Only</v>
      </c>
      <c r="H44" s="109">
        <f t="shared" si="49"/>
        <v>107.87</v>
      </c>
      <c r="I44" s="109">
        <f t="shared" si="50"/>
        <v>0</v>
      </c>
      <c r="J44" s="109">
        <f t="shared" si="51"/>
        <v>107.87</v>
      </c>
      <c r="K44" s="5" t="str">
        <f t="shared" si="52"/>
        <v>None</v>
      </c>
      <c r="L44">
        <f t="shared" si="53"/>
        <v>0</v>
      </c>
      <c r="M44" s="3">
        <f t="shared" si="54"/>
        <v>0</v>
      </c>
      <c r="N44" s="5" t="str">
        <f t="shared" si="55"/>
        <v>None</v>
      </c>
      <c r="O44">
        <f t="shared" si="56"/>
        <v>1</v>
      </c>
      <c r="P44" s="3">
        <f t="shared" si="57"/>
        <v>0</v>
      </c>
      <c r="Q44" s="8">
        <f t="shared" si="12"/>
        <v>30</v>
      </c>
      <c r="R44" s="16">
        <f t="shared" si="13"/>
        <v>0</v>
      </c>
      <c r="S44" s="8">
        <f t="shared" si="14"/>
        <v>0</v>
      </c>
      <c r="T44" s="8">
        <f t="shared" si="58"/>
        <v>77.87</v>
      </c>
      <c r="U44" s="5" t="b">
        <f t="shared" si="16"/>
        <v>0</v>
      </c>
      <c r="V44" s="8">
        <f t="shared" si="59"/>
        <v>0</v>
      </c>
      <c r="W44" s="8">
        <f t="shared" si="60"/>
        <v>0</v>
      </c>
      <c r="X44" s="5" t="b">
        <f t="shared" si="19"/>
        <v>0</v>
      </c>
      <c r="Y44" s="8">
        <f t="shared" si="61"/>
        <v>0</v>
      </c>
      <c r="Z44" s="8">
        <f t="shared" si="62"/>
        <v>0</v>
      </c>
      <c r="AA44" s="5" t="b">
        <f t="shared" si="22"/>
        <v>0</v>
      </c>
      <c r="AB44" s="8">
        <f t="shared" si="63"/>
        <v>0</v>
      </c>
      <c r="AC44" s="8">
        <f t="shared" si="64"/>
        <v>0</v>
      </c>
      <c r="AD44" s="5" t="b">
        <f t="shared" si="65"/>
        <v>0</v>
      </c>
      <c r="AE44" s="8">
        <f t="shared" si="66"/>
        <v>0</v>
      </c>
      <c r="AF44" s="8">
        <f t="shared" si="67"/>
        <v>0</v>
      </c>
      <c r="AG44" s="5" t="b">
        <f t="shared" si="28"/>
        <v>0</v>
      </c>
      <c r="AH44" s="8">
        <f t="shared" si="68"/>
        <v>0</v>
      </c>
      <c r="AI44" s="8">
        <f t="shared" si="69"/>
        <v>0</v>
      </c>
      <c r="AJ44" s="24">
        <f t="shared" si="70"/>
        <v>0</v>
      </c>
      <c r="AK44" s="8">
        <f t="shared" si="32"/>
        <v>107.87</v>
      </c>
      <c r="AL44" s="8">
        <f t="shared" si="33"/>
        <v>30</v>
      </c>
      <c r="AM44" s="183" t="b">
        <f t="shared" si="34"/>
        <v>1</v>
      </c>
      <c r="AN44" s="8">
        <f t="shared" si="35"/>
        <v>30</v>
      </c>
      <c r="AO44" s="54">
        <f t="shared" si="36"/>
        <v>3782.88</v>
      </c>
      <c r="AP44" s="8">
        <f t="shared" si="37"/>
        <v>30</v>
      </c>
      <c r="AQ44" s="8">
        <f t="shared" si="78"/>
        <v>77.87</v>
      </c>
      <c r="AR44" s="106">
        <f t="shared" si="71"/>
        <v>0</v>
      </c>
      <c r="AS44" s="106">
        <f t="shared" si="72"/>
        <v>0</v>
      </c>
      <c r="AT44" s="106">
        <f t="shared" si="73"/>
        <v>30</v>
      </c>
      <c r="AU44" s="106">
        <f t="shared" si="74"/>
        <v>0</v>
      </c>
      <c r="AV44" s="106">
        <f t="shared" si="75"/>
        <v>0</v>
      </c>
      <c r="AW44" t="b">
        <f t="shared" si="76"/>
        <v>1</v>
      </c>
      <c r="AX44" t="b">
        <f t="shared" si="77"/>
        <v>1</v>
      </c>
    </row>
    <row r="45" spans="1:50" x14ac:dyDescent="0.25">
      <c r="A45" s="1">
        <v>43</v>
      </c>
      <c r="B45" s="10">
        <v>40636</v>
      </c>
      <c r="C45" s="5">
        <v>4</v>
      </c>
      <c r="D45" s="13">
        <v>25</v>
      </c>
      <c r="E45" s="57" t="str">
        <f t="shared" si="46"/>
        <v>Alcohol swabs (OTC - box of 100)  [usage = 3 wipes/day; 90 wipes/month]</v>
      </c>
      <c r="F45" t="str">
        <f t="shared" si="47"/>
        <v>Over-the-counter Drugs</v>
      </c>
      <c r="G45" t="str">
        <f t="shared" si="48"/>
        <v>Not Covered</v>
      </c>
      <c r="H45" s="109">
        <f t="shared" si="49"/>
        <v>2.6074999999999999</v>
      </c>
      <c r="I45" s="109">
        <f t="shared" si="50"/>
        <v>2.6074999999999999</v>
      </c>
      <c r="J45" s="109">
        <f t="shared" si="51"/>
        <v>0</v>
      </c>
      <c r="K45" s="5" t="str">
        <f t="shared" si="52"/>
        <v>None</v>
      </c>
      <c r="L45">
        <f t="shared" si="53"/>
        <v>0</v>
      </c>
      <c r="M45" s="3">
        <f t="shared" si="54"/>
        <v>0</v>
      </c>
      <c r="N45" s="5" t="str">
        <f t="shared" si="55"/>
        <v>None</v>
      </c>
      <c r="O45">
        <f t="shared" si="56"/>
        <v>3</v>
      </c>
      <c r="P45" s="3">
        <f t="shared" si="57"/>
        <v>0</v>
      </c>
      <c r="Q45" s="8">
        <f t="shared" si="12"/>
        <v>0</v>
      </c>
      <c r="R45" s="16">
        <f t="shared" si="13"/>
        <v>0</v>
      </c>
      <c r="S45" s="8">
        <f t="shared" si="14"/>
        <v>0</v>
      </c>
      <c r="T45" s="8">
        <f t="shared" si="58"/>
        <v>0</v>
      </c>
      <c r="U45" s="5" t="b">
        <f t="shared" si="16"/>
        <v>0</v>
      </c>
      <c r="V45" s="8">
        <f t="shared" si="59"/>
        <v>0</v>
      </c>
      <c r="W45" s="8">
        <f t="shared" si="60"/>
        <v>0</v>
      </c>
      <c r="X45" s="5" t="b">
        <f t="shared" si="19"/>
        <v>0</v>
      </c>
      <c r="Y45" s="8">
        <f t="shared" si="61"/>
        <v>0</v>
      </c>
      <c r="Z45" s="8">
        <f t="shared" si="62"/>
        <v>0</v>
      </c>
      <c r="AA45" s="5" t="b">
        <f t="shared" si="22"/>
        <v>0</v>
      </c>
      <c r="AB45" s="8">
        <f t="shared" si="63"/>
        <v>0</v>
      </c>
      <c r="AC45" s="8">
        <f t="shared" si="64"/>
        <v>0</v>
      </c>
      <c r="AD45" s="5" t="b">
        <f t="shared" si="65"/>
        <v>0</v>
      </c>
      <c r="AE45" s="8">
        <f t="shared" si="66"/>
        <v>0</v>
      </c>
      <c r="AF45" s="8">
        <f t="shared" si="67"/>
        <v>0</v>
      </c>
      <c r="AG45" s="5" t="b">
        <f t="shared" si="28"/>
        <v>0</v>
      </c>
      <c r="AH45" s="8">
        <f t="shared" si="68"/>
        <v>0</v>
      </c>
      <c r="AI45" s="8">
        <f t="shared" si="69"/>
        <v>0</v>
      </c>
      <c r="AJ45" s="24">
        <f t="shared" si="70"/>
        <v>0</v>
      </c>
      <c r="AK45" s="8">
        <f t="shared" si="32"/>
        <v>0</v>
      </c>
      <c r="AL45" s="8">
        <f t="shared" si="33"/>
        <v>0</v>
      </c>
      <c r="AM45" s="183" t="b">
        <f t="shared" si="34"/>
        <v>0</v>
      </c>
      <c r="AN45" s="8">
        <f t="shared" si="35"/>
        <v>0</v>
      </c>
      <c r="AO45" s="54">
        <f t="shared" si="36"/>
        <v>0</v>
      </c>
      <c r="AP45" s="8">
        <f t="shared" si="37"/>
        <v>0</v>
      </c>
      <c r="AQ45" s="8">
        <f t="shared" si="78"/>
        <v>0</v>
      </c>
      <c r="AR45" s="106">
        <f t="shared" si="71"/>
        <v>2.6074999999999999</v>
      </c>
      <c r="AS45" s="106">
        <f t="shared" si="72"/>
        <v>0</v>
      </c>
      <c r="AT45" s="106">
        <f t="shared" si="73"/>
        <v>0</v>
      </c>
      <c r="AU45" s="106">
        <f t="shared" si="74"/>
        <v>0</v>
      </c>
      <c r="AV45" s="106">
        <f t="shared" si="75"/>
        <v>0</v>
      </c>
      <c r="AW45" t="b">
        <f t="shared" si="76"/>
        <v>1</v>
      </c>
      <c r="AX45" t="b">
        <f t="shared" si="77"/>
        <v>1</v>
      </c>
    </row>
    <row r="46" spans="1:50" x14ac:dyDescent="0.25">
      <c r="A46" s="1">
        <v>44</v>
      </c>
      <c r="B46" s="10">
        <v>40636</v>
      </c>
      <c r="C46" s="5">
        <v>4</v>
      </c>
      <c r="D46" s="13">
        <v>14</v>
      </c>
      <c r="E46" s="57" t="str">
        <f t="shared" si="46"/>
        <v>BD Ultrafine Insulin Syringes / 30G/ 0.5cc  [usage = 30 syringes per month]</v>
      </c>
      <c r="F46" t="str">
        <f t="shared" si="47"/>
        <v>Medical Supplies</v>
      </c>
      <c r="G46" t="str">
        <f t="shared" si="48"/>
        <v>Plan Deductible Only</v>
      </c>
      <c r="H46" s="109">
        <f t="shared" si="49"/>
        <v>42.66</v>
      </c>
      <c r="I46" s="109">
        <f t="shared" si="50"/>
        <v>0</v>
      </c>
      <c r="J46" s="109">
        <f t="shared" si="51"/>
        <v>42.66</v>
      </c>
      <c r="K46" s="5" t="str">
        <f t="shared" si="52"/>
        <v>None</v>
      </c>
      <c r="L46">
        <f t="shared" si="53"/>
        <v>0</v>
      </c>
      <c r="M46" s="3">
        <f t="shared" si="54"/>
        <v>0</v>
      </c>
      <c r="N46" s="5" t="str">
        <f t="shared" si="55"/>
        <v>None</v>
      </c>
      <c r="O46">
        <f t="shared" si="56"/>
        <v>3</v>
      </c>
      <c r="P46" s="3">
        <f t="shared" si="57"/>
        <v>0</v>
      </c>
      <c r="Q46" s="8">
        <f t="shared" si="12"/>
        <v>0</v>
      </c>
      <c r="R46" s="16">
        <f t="shared" si="13"/>
        <v>0</v>
      </c>
      <c r="S46" s="8">
        <f t="shared" si="14"/>
        <v>0</v>
      </c>
      <c r="T46" s="8">
        <f t="shared" si="58"/>
        <v>42.66</v>
      </c>
      <c r="U46" s="5" t="b">
        <f t="shared" si="16"/>
        <v>1</v>
      </c>
      <c r="V46" s="8">
        <f t="shared" si="59"/>
        <v>172.88000000000011</v>
      </c>
      <c r="W46" s="8">
        <f t="shared" si="60"/>
        <v>42.66</v>
      </c>
      <c r="X46" s="5" t="b">
        <f t="shared" si="19"/>
        <v>0</v>
      </c>
      <c r="Y46" s="8">
        <f t="shared" si="61"/>
        <v>0</v>
      </c>
      <c r="Z46" s="8">
        <f t="shared" si="62"/>
        <v>0</v>
      </c>
      <c r="AA46" s="5" t="b">
        <f t="shared" si="22"/>
        <v>0</v>
      </c>
      <c r="AB46" s="8">
        <f t="shared" si="63"/>
        <v>0</v>
      </c>
      <c r="AC46" s="8">
        <f t="shared" si="64"/>
        <v>0</v>
      </c>
      <c r="AD46" s="5" t="b">
        <f t="shared" si="65"/>
        <v>0</v>
      </c>
      <c r="AE46" s="8">
        <f t="shared" si="66"/>
        <v>0</v>
      </c>
      <c r="AF46" s="8">
        <f t="shared" si="67"/>
        <v>0</v>
      </c>
      <c r="AG46" s="5" t="b">
        <f t="shared" si="28"/>
        <v>0</v>
      </c>
      <c r="AH46" s="8">
        <f t="shared" si="68"/>
        <v>0</v>
      </c>
      <c r="AI46" s="8">
        <f t="shared" si="69"/>
        <v>0</v>
      </c>
      <c r="AJ46" s="24">
        <f t="shared" si="70"/>
        <v>42.66</v>
      </c>
      <c r="AK46" s="8">
        <f t="shared" si="32"/>
        <v>0</v>
      </c>
      <c r="AL46" s="8">
        <f t="shared" si="33"/>
        <v>42.66</v>
      </c>
      <c r="AM46" s="183" t="b">
        <f t="shared" si="34"/>
        <v>1</v>
      </c>
      <c r="AN46" s="8">
        <f t="shared" si="35"/>
        <v>42.66</v>
      </c>
      <c r="AO46" s="54">
        <f t="shared" si="36"/>
        <v>3752.88</v>
      </c>
      <c r="AP46" s="8">
        <f t="shared" si="37"/>
        <v>42.66</v>
      </c>
      <c r="AQ46" s="8">
        <f t="shared" si="78"/>
        <v>0</v>
      </c>
      <c r="AR46" s="106">
        <f t="shared" si="71"/>
        <v>0</v>
      </c>
      <c r="AS46" s="106">
        <f t="shared" si="72"/>
        <v>0</v>
      </c>
      <c r="AT46" s="106">
        <f t="shared" si="73"/>
        <v>0</v>
      </c>
      <c r="AU46" s="106">
        <f t="shared" si="74"/>
        <v>0</v>
      </c>
      <c r="AV46" s="106">
        <f t="shared" si="75"/>
        <v>42.66</v>
      </c>
      <c r="AW46" t="b">
        <f t="shared" si="76"/>
        <v>1</v>
      </c>
      <c r="AX46" t="b">
        <f t="shared" si="77"/>
        <v>1</v>
      </c>
    </row>
    <row r="47" spans="1:50" x14ac:dyDescent="0.25">
      <c r="A47" s="1">
        <v>45</v>
      </c>
      <c r="B47" s="10">
        <v>40636</v>
      </c>
      <c r="C47" s="5">
        <v>4</v>
      </c>
      <c r="D47" s="13">
        <v>32</v>
      </c>
      <c r="E47" s="57" t="str">
        <f t="shared" si="46"/>
        <v>METFORMIN HCL 850 MG TABLET</v>
      </c>
      <c r="F47" t="str">
        <f t="shared" si="47"/>
        <v>Prescription Drugs: Generic</v>
      </c>
      <c r="G47" t="str">
        <f t="shared" si="48"/>
        <v>Rx Deductible+Co-pay</v>
      </c>
      <c r="H47" s="109">
        <f t="shared" si="49"/>
        <v>9.19</v>
      </c>
      <c r="I47" s="109">
        <f t="shared" si="50"/>
        <v>0</v>
      </c>
      <c r="J47" s="109">
        <f t="shared" si="51"/>
        <v>9.19</v>
      </c>
      <c r="K47" s="5" t="str">
        <f t="shared" si="52"/>
        <v>None</v>
      </c>
      <c r="L47">
        <f t="shared" si="53"/>
        <v>0</v>
      </c>
      <c r="M47" s="3">
        <f t="shared" si="54"/>
        <v>0</v>
      </c>
      <c r="N47" s="5" t="str">
        <f t="shared" si="55"/>
        <v>None</v>
      </c>
      <c r="O47">
        <f t="shared" si="56"/>
        <v>3</v>
      </c>
      <c r="P47" s="3">
        <f t="shared" si="57"/>
        <v>0</v>
      </c>
      <c r="Q47" s="8">
        <f t="shared" si="12"/>
        <v>10</v>
      </c>
      <c r="R47" s="16">
        <f t="shared" si="13"/>
        <v>0</v>
      </c>
      <c r="S47" s="8">
        <f t="shared" si="14"/>
        <v>0</v>
      </c>
      <c r="T47" s="8">
        <f t="shared" si="58"/>
        <v>0</v>
      </c>
      <c r="U47" s="5" t="b">
        <f t="shared" si="16"/>
        <v>0</v>
      </c>
      <c r="V47" s="8">
        <f t="shared" si="59"/>
        <v>0</v>
      </c>
      <c r="W47" s="8">
        <f t="shared" si="60"/>
        <v>0</v>
      </c>
      <c r="X47" s="5" t="b">
        <f t="shared" si="19"/>
        <v>1</v>
      </c>
      <c r="Y47" s="8">
        <f t="shared" si="61"/>
        <v>0</v>
      </c>
      <c r="Z47" s="8">
        <f t="shared" si="62"/>
        <v>0</v>
      </c>
      <c r="AA47" s="5" t="b">
        <f t="shared" si="22"/>
        <v>0</v>
      </c>
      <c r="AB47" s="8">
        <f t="shared" si="63"/>
        <v>0</v>
      </c>
      <c r="AC47" s="8">
        <f t="shared" si="64"/>
        <v>0</v>
      </c>
      <c r="AD47" s="5" t="b">
        <f t="shared" si="65"/>
        <v>0</v>
      </c>
      <c r="AE47" s="8">
        <f t="shared" si="66"/>
        <v>0</v>
      </c>
      <c r="AF47" s="8">
        <f t="shared" si="67"/>
        <v>0</v>
      </c>
      <c r="AG47" s="5" t="b">
        <f t="shared" si="28"/>
        <v>0</v>
      </c>
      <c r="AH47" s="8">
        <f t="shared" si="68"/>
        <v>0</v>
      </c>
      <c r="AI47" s="8">
        <f t="shared" si="69"/>
        <v>0</v>
      </c>
      <c r="AJ47" s="24">
        <f t="shared" si="70"/>
        <v>0</v>
      </c>
      <c r="AK47" s="8">
        <f t="shared" si="32"/>
        <v>9.19</v>
      </c>
      <c r="AL47" s="8">
        <f t="shared" si="33"/>
        <v>10</v>
      </c>
      <c r="AM47" s="183" t="b">
        <f t="shared" si="34"/>
        <v>1</v>
      </c>
      <c r="AN47" s="8">
        <f t="shared" si="35"/>
        <v>10</v>
      </c>
      <c r="AO47" s="54">
        <f t="shared" si="36"/>
        <v>3710.22</v>
      </c>
      <c r="AP47" s="8">
        <f t="shared" si="37"/>
        <v>10</v>
      </c>
      <c r="AQ47" s="8">
        <f t="shared" si="78"/>
        <v>0</v>
      </c>
      <c r="AR47" s="106">
        <f t="shared" si="71"/>
        <v>0</v>
      </c>
      <c r="AS47" s="106">
        <f t="shared" si="72"/>
        <v>0</v>
      </c>
      <c r="AT47" s="106">
        <f t="shared" si="73"/>
        <v>10</v>
      </c>
      <c r="AU47" s="106">
        <f t="shared" si="74"/>
        <v>0</v>
      </c>
      <c r="AV47" s="106">
        <f t="shared" si="75"/>
        <v>0</v>
      </c>
      <c r="AW47" t="b">
        <f t="shared" si="76"/>
        <v>1</v>
      </c>
      <c r="AX47" t="b">
        <f t="shared" si="77"/>
        <v>0</v>
      </c>
    </row>
    <row r="48" spans="1:50" x14ac:dyDescent="0.25">
      <c r="A48" s="1">
        <v>46</v>
      </c>
      <c r="B48" s="10">
        <v>40636</v>
      </c>
      <c r="C48" s="5">
        <v>4</v>
      </c>
      <c r="D48" s="13">
        <v>19</v>
      </c>
      <c r="E48" s="57" t="str">
        <f t="shared" si="46"/>
        <v>Ramipril 10mg (Rx) [1 QD; #30 pills/month]</v>
      </c>
      <c r="F48" t="str">
        <f t="shared" si="47"/>
        <v>Prescription Drugs: Generic</v>
      </c>
      <c r="G48" t="str">
        <f t="shared" si="48"/>
        <v>Rx Deductible+Co-pay</v>
      </c>
      <c r="H48" s="109">
        <f t="shared" si="49"/>
        <v>15.92</v>
      </c>
      <c r="I48" s="109">
        <f t="shared" si="50"/>
        <v>0</v>
      </c>
      <c r="J48" s="109">
        <f t="shared" si="51"/>
        <v>15.92</v>
      </c>
      <c r="K48" s="5" t="str">
        <f t="shared" si="52"/>
        <v>None</v>
      </c>
      <c r="L48">
        <f t="shared" si="53"/>
        <v>0</v>
      </c>
      <c r="M48" s="3">
        <f t="shared" si="54"/>
        <v>0</v>
      </c>
      <c r="N48" s="5" t="str">
        <f t="shared" si="55"/>
        <v>None</v>
      </c>
      <c r="O48">
        <f t="shared" si="56"/>
        <v>3</v>
      </c>
      <c r="P48" s="3">
        <f t="shared" si="57"/>
        <v>0</v>
      </c>
      <c r="Q48" s="8">
        <f t="shared" si="12"/>
        <v>10</v>
      </c>
      <c r="R48" s="16">
        <f t="shared" si="13"/>
        <v>0</v>
      </c>
      <c r="S48" s="8">
        <f t="shared" si="14"/>
        <v>0</v>
      </c>
      <c r="T48" s="8">
        <f t="shared" si="58"/>
        <v>5.92</v>
      </c>
      <c r="U48" s="5" t="b">
        <f t="shared" si="16"/>
        <v>0</v>
      </c>
      <c r="V48" s="8">
        <f t="shared" si="59"/>
        <v>0</v>
      </c>
      <c r="W48" s="8">
        <f t="shared" si="60"/>
        <v>0</v>
      </c>
      <c r="X48" s="5" t="b">
        <f t="shared" si="19"/>
        <v>1</v>
      </c>
      <c r="Y48" s="8">
        <f t="shared" si="61"/>
        <v>0</v>
      </c>
      <c r="Z48" s="8">
        <f t="shared" si="62"/>
        <v>0</v>
      </c>
      <c r="AA48" s="5" t="b">
        <f t="shared" si="22"/>
        <v>0</v>
      </c>
      <c r="AB48" s="8">
        <f t="shared" si="63"/>
        <v>0</v>
      </c>
      <c r="AC48" s="8">
        <f t="shared" si="64"/>
        <v>0</v>
      </c>
      <c r="AD48" s="5" t="b">
        <f t="shared" si="65"/>
        <v>0</v>
      </c>
      <c r="AE48" s="8">
        <f t="shared" si="66"/>
        <v>0</v>
      </c>
      <c r="AF48" s="8">
        <f t="shared" si="67"/>
        <v>0</v>
      </c>
      <c r="AG48" s="5" t="b">
        <f t="shared" si="28"/>
        <v>0</v>
      </c>
      <c r="AH48" s="8">
        <f t="shared" si="68"/>
        <v>0</v>
      </c>
      <c r="AI48" s="8">
        <f t="shared" si="69"/>
        <v>0</v>
      </c>
      <c r="AJ48" s="24">
        <f t="shared" si="70"/>
        <v>0</v>
      </c>
      <c r="AK48" s="8">
        <f t="shared" si="32"/>
        <v>15.92</v>
      </c>
      <c r="AL48" s="8">
        <f t="shared" si="33"/>
        <v>10</v>
      </c>
      <c r="AM48" s="183" t="b">
        <f t="shared" si="34"/>
        <v>1</v>
      </c>
      <c r="AN48" s="8">
        <f t="shared" si="35"/>
        <v>10</v>
      </c>
      <c r="AO48" s="54">
        <f t="shared" si="36"/>
        <v>3700.22</v>
      </c>
      <c r="AP48" s="8">
        <f t="shared" si="37"/>
        <v>10</v>
      </c>
      <c r="AQ48" s="8">
        <f t="shared" si="78"/>
        <v>5.92</v>
      </c>
      <c r="AR48" s="106">
        <f t="shared" si="71"/>
        <v>0</v>
      </c>
      <c r="AS48" s="106">
        <f t="shared" si="72"/>
        <v>0</v>
      </c>
      <c r="AT48" s="106">
        <f t="shared" si="73"/>
        <v>10</v>
      </c>
      <c r="AU48" s="106">
        <f t="shared" si="74"/>
        <v>0</v>
      </c>
      <c r="AV48" s="106">
        <f t="shared" si="75"/>
        <v>0</v>
      </c>
      <c r="AW48" t="b">
        <f t="shared" si="76"/>
        <v>1</v>
      </c>
      <c r="AX48" t="b">
        <f t="shared" si="77"/>
        <v>1</v>
      </c>
    </row>
    <row r="49" spans="1:50" x14ac:dyDescent="0.25">
      <c r="A49" s="1">
        <v>47</v>
      </c>
      <c r="B49" s="10">
        <v>40636</v>
      </c>
      <c r="C49" s="5">
        <v>4</v>
      </c>
      <c r="D49" s="13">
        <v>33</v>
      </c>
      <c r="E49" s="57" t="str">
        <f t="shared" si="46"/>
        <v>Atorvastatin 20 MG tablet 90 CT</v>
      </c>
      <c r="F49" t="str">
        <f t="shared" si="47"/>
        <v>Prescription Drugs: Generic</v>
      </c>
      <c r="G49" t="str">
        <f t="shared" si="48"/>
        <v>Rx Deductible+Co-pay</v>
      </c>
      <c r="H49" s="109">
        <f t="shared" si="49"/>
        <v>25.88</v>
      </c>
      <c r="I49" s="109">
        <f t="shared" si="50"/>
        <v>0</v>
      </c>
      <c r="J49" s="109">
        <f t="shared" si="51"/>
        <v>25.88</v>
      </c>
      <c r="K49" s="5" t="str">
        <f t="shared" si="52"/>
        <v>None</v>
      </c>
      <c r="L49">
        <f t="shared" si="53"/>
        <v>0</v>
      </c>
      <c r="M49" s="3">
        <f t="shared" si="54"/>
        <v>0</v>
      </c>
      <c r="N49" s="5" t="str">
        <f t="shared" si="55"/>
        <v>None</v>
      </c>
      <c r="O49">
        <f t="shared" si="56"/>
        <v>1</v>
      </c>
      <c r="P49" s="3">
        <f t="shared" si="57"/>
        <v>0</v>
      </c>
      <c r="Q49" s="8">
        <f t="shared" si="12"/>
        <v>10</v>
      </c>
      <c r="R49" s="16">
        <f t="shared" si="13"/>
        <v>0</v>
      </c>
      <c r="S49" s="8">
        <f t="shared" si="14"/>
        <v>0</v>
      </c>
      <c r="T49" s="8">
        <f t="shared" si="58"/>
        <v>15.879999999999999</v>
      </c>
      <c r="U49" s="5" t="b">
        <f t="shared" si="16"/>
        <v>0</v>
      </c>
      <c r="V49" s="8">
        <f t="shared" si="59"/>
        <v>0</v>
      </c>
      <c r="W49" s="8">
        <f t="shared" si="60"/>
        <v>0</v>
      </c>
      <c r="X49" s="5" t="b">
        <f t="shared" si="19"/>
        <v>1</v>
      </c>
      <c r="Y49" s="8">
        <f t="shared" si="61"/>
        <v>0</v>
      </c>
      <c r="Z49" s="8">
        <f t="shared" si="62"/>
        <v>0</v>
      </c>
      <c r="AA49" s="5" t="b">
        <f t="shared" si="22"/>
        <v>0</v>
      </c>
      <c r="AB49" s="8">
        <f t="shared" si="63"/>
        <v>0</v>
      </c>
      <c r="AC49" s="8">
        <f t="shared" si="64"/>
        <v>0</v>
      </c>
      <c r="AD49" s="5" t="b">
        <f t="shared" si="65"/>
        <v>0</v>
      </c>
      <c r="AE49" s="8">
        <f t="shared" si="66"/>
        <v>0</v>
      </c>
      <c r="AF49" s="8">
        <f t="shared" si="67"/>
        <v>0</v>
      </c>
      <c r="AG49" s="5" t="b">
        <f t="shared" si="28"/>
        <v>0</v>
      </c>
      <c r="AH49" s="8">
        <f t="shared" si="68"/>
        <v>0</v>
      </c>
      <c r="AI49" s="8">
        <f t="shared" si="69"/>
        <v>0</v>
      </c>
      <c r="AJ49" s="24">
        <f t="shared" si="70"/>
        <v>0</v>
      </c>
      <c r="AK49" s="8">
        <f t="shared" si="32"/>
        <v>25.88</v>
      </c>
      <c r="AL49" s="8">
        <f t="shared" si="33"/>
        <v>10</v>
      </c>
      <c r="AM49" s="183" t="b">
        <f t="shared" si="34"/>
        <v>1</v>
      </c>
      <c r="AN49" s="8">
        <f t="shared" si="35"/>
        <v>10</v>
      </c>
      <c r="AO49" s="54">
        <f t="shared" si="36"/>
        <v>3690.22</v>
      </c>
      <c r="AP49" s="8">
        <f t="shared" si="37"/>
        <v>10</v>
      </c>
      <c r="AQ49" s="8">
        <f t="shared" si="78"/>
        <v>15.879999999999999</v>
      </c>
      <c r="AR49" s="106">
        <f t="shared" si="71"/>
        <v>0</v>
      </c>
      <c r="AS49" s="106">
        <f t="shared" si="72"/>
        <v>0</v>
      </c>
      <c r="AT49" s="106">
        <f t="shared" si="73"/>
        <v>10</v>
      </c>
      <c r="AU49" s="106">
        <f t="shared" si="74"/>
        <v>0</v>
      </c>
      <c r="AV49" s="106">
        <f t="shared" si="75"/>
        <v>0</v>
      </c>
      <c r="AW49" t="b">
        <f t="shared" si="76"/>
        <v>1</v>
      </c>
      <c r="AX49" t="b">
        <f t="shared" si="77"/>
        <v>1</v>
      </c>
    </row>
    <row r="50" spans="1:50" x14ac:dyDescent="0.25">
      <c r="A50" s="1">
        <v>48</v>
      </c>
      <c r="B50" s="10">
        <v>40636</v>
      </c>
      <c r="C50" s="5">
        <v>4</v>
      </c>
      <c r="D50" s="13">
        <v>16</v>
      </c>
      <c r="E50" s="57" t="str">
        <f t="shared" si="46"/>
        <v>Glycosylated Hemoglobin Test</v>
      </c>
      <c r="F50" t="str">
        <f t="shared" si="47"/>
        <v>Diagnostic Services: Laboratory</v>
      </c>
      <c r="G50" t="str">
        <f t="shared" si="48"/>
        <v>Plan Deductible Only</v>
      </c>
      <c r="H50" s="109">
        <f t="shared" si="49"/>
        <v>10.85</v>
      </c>
      <c r="I50" s="109">
        <f t="shared" si="50"/>
        <v>0</v>
      </c>
      <c r="J50" s="109">
        <f t="shared" si="51"/>
        <v>10.85</v>
      </c>
      <c r="K50" s="5" t="str">
        <f t="shared" si="52"/>
        <v>None</v>
      </c>
      <c r="L50">
        <f t="shared" si="53"/>
        <v>0</v>
      </c>
      <c r="M50" s="3">
        <f t="shared" si="54"/>
        <v>0</v>
      </c>
      <c r="N50" s="5" t="str">
        <f t="shared" si="55"/>
        <v>None</v>
      </c>
      <c r="O50">
        <f t="shared" si="56"/>
        <v>1</v>
      </c>
      <c r="P50" s="3">
        <f t="shared" si="57"/>
        <v>0</v>
      </c>
      <c r="Q50" s="8">
        <f t="shared" si="12"/>
        <v>0</v>
      </c>
      <c r="R50" s="16">
        <f t="shared" si="13"/>
        <v>0</v>
      </c>
      <c r="S50" s="8">
        <f t="shared" si="14"/>
        <v>0</v>
      </c>
      <c r="T50" s="8">
        <f t="shared" si="58"/>
        <v>10.85</v>
      </c>
      <c r="U50" s="5" t="b">
        <f t="shared" si="16"/>
        <v>1</v>
      </c>
      <c r="V50" s="8">
        <f t="shared" si="59"/>
        <v>130.22000000000014</v>
      </c>
      <c r="W50" s="8">
        <f t="shared" si="60"/>
        <v>10.85</v>
      </c>
      <c r="X50" s="5" t="b">
        <f t="shared" si="19"/>
        <v>0</v>
      </c>
      <c r="Y50" s="8">
        <f t="shared" si="61"/>
        <v>0</v>
      </c>
      <c r="Z50" s="8">
        <f t="shared" si="62"/>
        <v>0</v>
      </c>
      <c r="AA50" s="5" t="b">
        <f t="shared" si="22"/>
        <v>0</v>
      </c>
      <c r="AB50" s="8">
        <f t="shared" si="63"/>
        <v>0</v>
      </c>
      <c r="AC50" s="8">
        <f t="shared" si="64"/>
        <v>0</v>
      </c>
      <c r="AD50" s="5" t="b">
        <f t="shared" si="65"/>
        <v>0</v>
      </c>
      <c r="AE50" s="8">
        <f t="shared" si="66"/>
        <v>0</v>
      </c>
      <c r="AF50" s="8">
        <f t="shared" si="67"/>
        <v>0</v>
      </c>
      <c r="AG50" s="5" t="b">
        <f t="shared" si="28"/>
        <v>0</v>
      </c>
      <c r="AH50" s="8">
        <f t="shared" si="68"/>
        <v>0</v>
      </c>
      <c r="AI50" s="8">
        <f t="shared" si="69"/>
        <v>0</v>
      </c>
      <c r="AJ50" s="24">
        <f t="shared" si="70"/>
        <v>10.85</v>
      </c>
      <c r="AK50" s="8">
        <f t="shared" si="32"/>
        <v>0</v>
      </c>
      <c r="AL50" s="8">
        <f t="shared" si="33"/>
        <v>10.85</v>
      </c>
      <c r="AM50" s="183" t="b">
        <f t="shared" si="34"/>
        <v>1</v>
      </c>
      <c r="AN50" s="8">
        <f t="shared" si="35"/>
        <v>10.85</v>
      </c>
      <c r="AO50" s="54">
        <f t="shared" si="36"/>
        <v>3680.22</v>
      </c>
      <c r="AP50" s="8">
        <f t="shared" si="37"/>
        <v>10.85</v>
      </c>
      <c r="AQ50" s="8">
        <f t="shared" si="78"/>
        <v>0</v>
      </c>
      <c r="AR50" s="106">
        <f t="shared" si="71"/>
        <v>0</v>
      </c>
      <c r="AS50" s="106">
        <f t="shared" si="72"/>
        <v>0</v>
      </c>
      <c r="AT50" s="106">
        <f t="shared" si="73"/>
        <v>0</v>
      </c>
      <c r="AU50" s="106">
        <f t="shared" si="74"/>
        <v>0</v>
      </c>
      <c r="AV50" s="106">
        <f t="shared" si="75"/>
        <v>10.85</v>
      </c>
      <c r="AW50" t="b">
        <f t="shared" si="76"/>
        <v>1</v>
      </c>
      <c r="AX50" t="b">
        <f t="shared" si="77"/>
        <v>1</v>
      </c>
    </row>
    <row r="51" spans="1:50" x14ac:dyDescent="0.25">
      <c r="A51" s="1">
        <v>49</v>
      </c>
      <c r="B51" s="10">
        <v>40646</v>
      </c>
      <c r="C51" s="5">
        <v>4</v>
      </c>
      <c r="D51" s="13">
        <v>5</v>
      </c>
      <c r="E51" s="57" t="str">
        <f t="shared" si="46"/>
        <v>OneTouch Delica Lancets (100 per box)  [usage = 60 lancets per month]</v>
      </c>
      <c r="F51" t="str">
        <f t="shared" si="47"/>
        <v>Medical Supplies</v>
      </c>
      <c r="G51" t="str">
        <f t="shared" si="48"/>
        <v>Plan Deductible Only</v>
      </c>
      <c r="H51" s="109">
        <f t="shared" si="49"/>
        <v>10.38</v>
      </c>
      <c r="I51" s="109">
        <f t="shared" si="50"/>
        <v>0</v>
      </c>
      <c r="J51" s="109">
        <f t="shared" si="51"/>
        <v>10.38</v>
      </c>
      <c r="K51" s="5" t="str">
        <f t="shared" si="52"/>
        <v>None</v>
      </c>
      <c r="L51">
        <f t="shared" si="53"/>
        <v>0</v>
      </c>
      <c r="M51" s="3">
        <f t="shared" si="54"/>
        <v>0</v>
      </c>
      <c r="N51" s="5" t="str">
        <f t="shared" si="55"/>
        <v>None</v>
      </c>
      <c r="O51">
        <f t="shared" si="56"/>
        <v>2</v>
      </c>
      <c r="P51" s="3">
        <f t="shared" si="57"/>
        <v>0</v>
      </c>
      <c r="Q51" s="8">
        <f t="shared" si="12"/>
        <v>0</v>
      </c>
      <c r="R51" s="16">
        <f t="shared" si="13"/>
        <v>0</v>
      </c>
      <c r="S51" s="8">
        <f t="shared" si="14"/>
        <v>0</v>
      </c>
      <c r="T51" s="8">
        <f t="shared" si="58"/>
        <v>10.38</v>
      </c>
      <c r="U51" s="5" t="b">
        <f t="shared" si="16"/>
        <v>1</v>
      </c>
      <c r="V51" s="8">
        <f t="shared" si="59"/>
        <v>119.37000000000012</v>
      </c>
      <c r="W51" s="8">
        <f t="shared" si="60"/>
        <v>10.38</v>
      </c>
      <c r="X51" s="5" t="b">
        <f t="shared" si="19"/>
        <v>0</v>
      </c>
      <c r="Y51" s="8">
        <f t="shared" si="61"/>
        <v>0</v>
      </c>
      <c r="Z51" s="8">
        <f t="shared" si="62"/>
        <v>0</v>
      </c>
      <c r="AA51" s="5" t="b">
        <f t="shared" si="22"/>
        <v>0</v>
      </c>
      <c r="AB51" s="8">
        <f t="shared" si="63"/>
        <v>0</v>
      </c>
      <c r="AC51" s="8">
        <f t="shared" si="64"/>
        <v>0</v>
      </c>
      <c r="AD51" s="5" t="b">
        <f t="shared" si="65"/>
        <v>0</v>
      </c>
      <c r="AE51" s="8">
        <f t="shared" si="66"/>
        <v>0</v>
      </c>
      <c r="AF51" s="8">
        <f t="shared" si="67"/>
        <v>0</v>
      </c>
      <c r="AG51" s="5" t="b">
        <f t="shared" si="28"/>
        <v>0</v>
      </c>
      <c r="AH51" s="8">
        <f t="shared" si="68"/>
        <v>0</v>
      </c>
      <c r="AI51" s="8">
        <f t="shared" si="69"/>
        <v>0</v>
      </c>
      <c r="AJ51" s="24">
        <f t="shared" si="70"/>
        <v>10.38</v>
      </c>
      <c r="AK51" s="8">
        <f t="shared" si="32"/>
        <v>0</v>
      </c>
      <c r="AL51" s="8">
        <f t="shared" si="33"/>
        <v>10.38</v>
      </c>
      <c r="AM51" s="183" t="b">
        <f t="shared" si="34"/>
        <v>1</v>
      </c>
      <c r="AN51" s="8">
        <f t="shared" si="35"/>
        <v>10.38</v>
      </c>
      <c r="AO51" s="54">
        <f t="shared" si="36"/>
        <v>3669.37</v>
      </c>
      <c r="AP51" s="8">
        <f t="shared" si="37"/>
        <v>10.38</v>
      </c>
      <c r="AQ51" s="8">
        <f t="shared" si="78"/>
        <v>0</v>
      </c>
      <c r="AR51" s="106">
        <f t="shared" si="71"/>
        <v>0</v>
      </c>
      <c r="AS51" s="106">
        <f t="shared" si="72"/>
        <v>0</v>
      </c>
      <c r="AT51" s="106">
        <f t="shared" si="73"/>
        <v>0</v>
      </c>
      <c r="AU51" s="106">
        <f t="shared" si="74"/>
        <v>0</v>
      </c>
      <c r="AV51" s="106">
        <f t="shared" si="75"/>
        <v>10.38</v>
      </c>
      <c r="AW51" t="b">
        <f t="shared" si="76"/>
        <v>1</v>
      </c>
      <c r="AX51" t="b">
        <f t="shared" si="77"/>
        <v>1</v>
      </c>
    </row>
    <row r="52" spans="1:50" x14ac:dyDescent="0.25">
      <c r="A52" s="1">
        <v>50</v>
      </c>
      <c r="B52" s="10">
        <v>40646</v>
      </c>
      <c r="C52" s="5">
        <v>4</v>
      </c>
      <c r="D52" s="13">
        <v>4</v>
      </c>
      <c r="E52" s="57" t="str">
        <f t="shared" si="46"/>
        <v xml:space="preserve">OneTouch Ultra Blue Test Strips (Rx - box of 100) [usage = 2 strips/day; 60 per month] </v>
      </c>
      <c r="F52" t="str">
        <f t="shared" si="47"/>
        <v>Medical Supplies</v>
      </c>
      <c r="G52" t="str">
        <f t="shared" si="48"/>
        <v>Plan Deductible Only</v>
      </c>
      <c r="H52" s="109">
        <f t="shared" si="49"/>
        <v>125.26</v>
      </c>
      <c r="I52" s="109">
        <f t="shared" si="50"/>
        <v>0</v>
      </c>
      <c r="J52" s="109">
        <f t="shared" si="51"/>
        <v>125.26</v>
      </c>
      <c r="K52" s="5" t="str">
        <f t="shared" si="52"/>
        <v>None</v>
      </c>
      <c r="L52">
        <f t="shared" si="53"/>
        <v>0</v>
      </c>
      <c r="M52" s="3">
        <f t="shared" si="54"/>
        <v>0</v>
      </c>
      <c r="N52" s="5" t="str">
        <f t="shared" si="55"/>
        <v>None</v>
      </c>
      <c r="O52">
        <f t="shared" si="56"/>
        <v>2</v>
      </c>
      <c r="P52" s="3">
        <f t="shared" si="57"/>
        <v>0</v>
      </c>
      <c r="Q52" s="8">
        <f t="shared" si="12"/>
        <v>0</v>
      </c>
      <c r="R52" s="16">
        <f t="shared" si="13"/>
        <v>0</v>
      </c>
      <c r="S52" s="8">
        <f t="shared" si="14"/>
        <v>0</v>
      </c>
      <c r="T52" s="8">
        <f t="shared" si="58"/>
        <v>125.26</v>
      </c>
      <c r="U52" s="5" t="b">
        <f t="shared" si="16"/>
        <v>1</v>
      </c>
      <c r="V52" s="8">
        <f t="shared" si="59"/>
        <v>108.99000000000012</v>
      </c>
      <c r="W52" s="8">
        <f t="shared" si="60"/>
        <v>108.99000000000012</v>
      </c>
      <c r="X52" s="5" t="b">
        <f t="shared" si="19"/>
        <v>0</v>
      </c>
      <c r="Y52" s="8">
        <f t="shared" si="61"/>
        <v>0</v>
      </c>
      <c r="Z52" s="8">
        <f t="shared" si="62"/>
        <v>0</v>
      </c>
      <c r="AA52" s="5" t="b">
        <f t="shared" si="22"/>
        <v>0</v>
      </c>
      <c r="AB52" s="8">
        <f t="shared" si="63"/>
        <v>0</v>
      </c>
      <c r="AC52" s="8">
        <f t="shared" si="64"/>
        <v>0</v>
      </c>
      <c r="AD52" s="5" t="b">
        <f t="shared" si="65"/>
        <v>0</v>
      </c>
      <c r="AE52" s="8">
        <f t="shared" si="66"/>
        <v>0</v>
      </c>
      <c r="AF52" s="8">
        <f t="shared" si="67"/>
        <v>0</v>
      </c>
      <c r="AG52" s="5" t="b">
        <f t="shared" si="28"/>
        <v>0</v>
      </c>
      <c r="AH52" s="8">
        <f t="shared" si="68"/>
        <v>0</v>
      </c>
      <c r="AI52" s="8">
        <f t="shared" si="69"/>
        <v>0</v>
      </c>
      <c r="AJ52" s="24">
        <f t="shared" si="70"/>
        <v>108.99000000000012</v>
      </c>
      <c r="AK52" s="8">
        <f t="shared" si="32"/>
        <v>16.269999999999882</v>
      </c>
      <c r="AL52" s="8">
        <f t="shared" si="33"/>
        <v>108.99000000000012</v>
      </c>
      <c r="AM52" s="183" t="b">
        <f t="shared" si="34"/>
        <v>1</v>
      </c>
      <c r="AN52" s="8">
        <f t="shared" si="35"/>
        <v>108.99000000000012</v>
      </c>
      <c r="AO52" s="54">
        <f t="shared" si="36"/>
        <v>3658.99</v>
      </c>
      <c r="AP52" s="8">
        <f t="shared" si="37"/>
        <v>108.99000000000012</v>
      </c>
      <c r="AQ52" s="8">
        <f t="shared" si="78"/>
        <v>16.269999999999882</v>
      </c>
      <c r="AR52" s="106">
        <f t="shared" si="71"/>
        <v>0</v>
      </c>
      <c r="AS52" s="106">
        <f t="shared" si="72"/>
        <v>0</v>
      </c>
      <c r="AT52" s="106">
        <f t="shared" si="73"/>
        <v>0</v>
      </c>
      <c r="AU52" s="106">
        <f t="shared" si="74"/>
        <v>0</v>
      </c>
      <c r="AV52" s="106">
        <f t="shared" si="75"/>
        <v>108.99000000000012</v>
      </c>
      <c r="AW52" t="b">
        <f t="shared" si="76"/>
        <v>1</v>
      </c>
      <c r="AX52" t="b">
        <f t="shared" si="77"/>
        <v>1</v>
      </c>
    </row>
    <row r="53" spans="1:50" x14ac:dyDescent="0.25">
      <c r="A53" s="1">
        <v>51</v>
      </c>
      <c r="B53" s="10">
        <v>40658</v>
      </c>
      <c r="C53" s="5">
        <v>4</v>
      </c>
      <c r="D53" s="13">
        <v>17</v>
      </c>
      <c r="E53" s="57" t="str">
        <f t="shared" si="46"/>
        <v>Insulin glargine 100 unit/ml injectable solution (Rx - 10ml vial)  [20 units QD; expires 28 days after first use]</v>
      </c>
      <c r="F53" t="str">
        <f t="shared" si="47"/>
        <v>Prescription Drugs: Branded</v>
      </c>
      <c r="G53" t="str">
        <f t="shared" si="48"/>
        <v>Rx Deductible+Co-pay</v>
      </c>
      <c r="H53" s="109">
        <f t="shared" si="49"/>
        <v>275.51</v>
      </c>
      <c r="I53" s="109">
        <f t="shared" si="50"/>
        <v>0</v>
      </c>
      <c r="J53" s="109">
        <f t="shared" si="51"/>
        <v>275.51</v>
      </c>
      <c r="K53" s="5" t="str">
        <f t="shared" si="52"/>
        <v>None</v>
      </c>
      <c r="L53">
        <f t="shared" si="53"/>
        <v>0</v>
      </c>
      <c r="M53" s="3">
        <f t="shared" si="54"/>
        <v>0</v>
      </c>
      <c r="N53" s="5" t="str">
        <f t="shared" si="55"/>
        <v>None</v>
      </c>
      <c r="O53">
        <f t="shared" si="56"/>
        <v>4</v>
      </c>
      <c r="P53" s="3">
        <f t="shared" si="57"/>
        <v>0</v>
      </c>
      <c r="Q53" s="8">
        <f t="shared" si="12"/>
        <v>30</v>
      </c>
      <c r="R53" s="16">
        <f t="shared" si="13"/>
        <v>0</v>
      </c>
      <c r="S53" s="8">
        <f t="shared" si="14"/>
        <v>0</v>
      </c>
      <c r="T53" s="8">
        <f t="shared" si="58"/>
        <v>245.51</v>
      </c>
      <c r="U53" s="5" t="b">
        <f t="shared" si="16"/>
        <v>0</v>
      </c>
      <c r="V53" s="8">
        <f t="shared" si="59"/>
        <v>0</v>
      </c>
      <c r="W53" s="8">
        <f t="shared" si="60"/>
        <v>0</v>
      </c>
      <c r="X53" s="5" t="b">
        <f t="shared" si="19"/>
        <v>1</v>
      </c>
      <c r="Y53" s="8">
        <f t="shared" si="61"/>
        <v>0</v>
      </c>
      <c r="Z53" s="8">
        <f t="shared" si="62"/>
        <v>0</v>
      </c>
      <c r="AA53" s="5" t="b">
        <f t="shared" si="22"/>
        <v>0</v>
      </c>
      <c r="AB53" s="8">
        <f t="shared" si="63"/>
        <v>0</v>
      </c>
      <c r="AC53" s="8">
        <f t="shared" si="64"/>
        <v>0</v>
      </c>
      <c r="AD53" s="5" t="b">
        <f t="shared" si="65"/>
        <v>0</v>
      </c>
      <c r="AE53" s="8">
        <f t="shared" si="66"/>
        <v>0</v>
      </c>
      <c r="AF53" s="8">
        <f t="shared" si="67"/>
        <v>0</v>
      </c>
      <c r="AG53" s="5" t="b">
        <f t="shared" si="28"/>
        <v>0</v>
      </c>
      <c r="AH53" s="8">
        <f t="shared" si="68"/>
        <v>0</v>
      </c>
      <c r="AI53" s="8">
        <f t="shared" si="69"/>
        <v>0</v>
      </c>
      <c r="AJ53" s="24">
        <f t="shared" si="70"/>
        <v>0</v>
      </c>
      <c r="AK53" s="8">
        <f t="shared" si="32"/>
        <v>275.51</v>
      </c>
      <c r="AL53" s="8">
        <f t="shared" si="33"/>
        <v>30</v>
      </c>
      <c r="AM53" s="183" t="b">
        <f t="shared" si="34"/>
        <v>1</v>
      </c>
      <c r="AN53" s="8">
        <f t="shared" si="35"/>
        <v>30</v>
      </c>
      <c r="AO53" s="54">
        <f t="shared" si="36"/>
        <v>3549.9999999999995</v>
      </c>
      <c r="AP53" s="8">
        <f t="shared" si="37"/>
        <v>30</v>
      </c>
      <c r="AQ53" s="8">
        <f t="shared" si="78"/>
        <v>245.51</v>
      </c>
      <c r="AR53" s="106">
        <f t="shared" si="71"/>
        <v>0</v>
      </c>
      <c r="AS53" s="106">
        <f t="shared" si="72"/>
        <v>0</v>
      </c>
      <c r="AT53" s="106">
        <f t="shared" si="73"/>
        <v>30</v>
      </c>
      <c r="AU53" s="106">
        <f t="shared" si="74"/>
        <v>0</v>
      </c>
      <c r="AV53" s="106">
        <f t="shared" si="75"/>
        <v>0</v>
      </c>
      <c r="AW53" t="b">
        <f t="shared" si="76"/>
        <v>1</v>
      </c>
      <c r="AX53" t="b">
        <f t="shared" si="77"/>
        <v>1</v>
      </c>
    </row>
    <row r="54" spans="1:50" x14ac:dyDescent="0.25">
      <c r="A54" s="1">
        <v>52</v>
      </c>
      <c r="B54" s="10">
        <v>40666</v>
      </c>
      <c r="C54" s="5">
        <v>5</v>
      </c>
      <c r="D54" s="13">
        <v>25</v>
      </c>
      <c r="E54" s="57" t="str">
        <f t="shared" si="46"/>
        <v>Alcohol swabs (OTC - box of 100)  [usage = 3 wipes/day; 90 wipes/month]</v>
      </c>
      <c r="F54" t="str">
        <f t="shared" si="47"/>
        <v>Over-the-counter Drugs</v>
      </c>
      <c r="G54" t="str">
        <f t="shared" si="48"/>
        <v>Not Covered</v>
      </c>
      <c r="H54" s="109">
        <f t="shared" si="49"/>
        <v>2.6074999999999999</v>
      </c>
      <c r="I54" s="109">
        <f t="shared" si="50"/>
        <v>2.6074999999999999</v>
      </c>
      <c r="J54" s="109">
        <f t="shared" si="51"/>
        <v>0</v>
      </c>
      <c r="K54" s="5" t="str">
        <f t="shared" si="52"/>
        <v>None</v>
      </c>
      <c r="L54">
        <f t="shared" si="53"/>
        <v>0</v>
      </c>
      <c r="M54" s="3">
        <f t="shared" si="54"/>
        <v>0</v>
      </c>
      <c r="N54" s="5" t="str">
        <f t="shared" si="55"/>
        <v>None</v>
      </c>
      <c r="O54">
        <f t="shared" si="56"/>
        <v>4</v>
      </c>
      <c r="P54" s="3">
        <f t="shared" si="57"/>
        <v>0</v>
      </c>
      <c r="Q54" s="8">
        <f t="shared" si="12"/>
        <v>0</v>
      </c>
      <c r="R54" s="16">
        <f t="shared" si="13"/>
        <v>0</v>
      </c>
      <c r="S54" s="8">
        <f t="shared" si="14"/>
        <v>0</v>
      </c>
      <c r="T54" s="8">
        <f t="shared" si="58"/>
        <v>0</v>
      </c>
      <c r="U54" s="5" t="b">
        <f t="shared" si="16"/>
        <v>0</v>
      </c>
      <c r="V54" s="8">
        <f t="shared" si="59"/>
        <v>0</v>
      </c>
      <c r="W54" s="8">
        <f t="shared" si="60"/>
        <v>0</v>
      </c>
      <c r="X54" s="5" t="b">
        <f t="shared" si="19"/>
        <v>0</v>
      </c>
      <c r="Y54" s="8">
        <f t="shared" si="61"/>
        <v>0</v>
      </c>
      <c r="Z54" s="8">
        <f t="shared" si="62"/>
        <v>0</v>
      </c>
      <c r="AA54" s="5" t="b">
        <f t="shared" si="22"/>
        <v>0</v>
      </c>
      <c r="AB54" s="8">
        <f t="shared" si="63"/>
        <v>0</v>
      </c>
      <c r="AC54" s="8">
        <f t="shared" si="64"/>
        <v>0</v>
      </c>
      <c r="AD54" s="5" t="b">
        <f t="shared" si="65"/>
        <v>0</v>
      </c>
      <c r="AE54" s="8">
        <f t="shared" si="66"/>
        <v>0</v>
      </c>
      <c r="AF54" s="8">
        <f t="shared" si="67"/>
        <v>0</v>
      </c>
      <c r="AG54" s="5" t="b">
        <f t="shared" si="28"/>
        <v>0</v>
      </c>
      <c r="AH54" s="8">
        <f t="shared" si="68"/>
        <v>0</v>
      </c>
      <c r="AI54" s="8">
        <f t="shared" si="69"/>
        <v>0</v>
      </c>
      <c r="AJ54" s="24">
        <f t="shared" si="70"/>
        <v>0</v>
      </c>
      <c r="AK54" s="8">
        <f t="shared" si="32"/>
        <v>0</v>
      </c>
      <c r="AL54" s="8">
        <f t="shared" si="33"/>
        <v>0</v>
      </c>
      <c r="AM54" s="183" t="b">
        <f t="shared" si="34"/>
        <v>0</v>
      </c>
      <c r="AN54" s="8">
        <f t="shared" si="35"/>
        <v>0</v>
      </c>
      <c r="AO54" s="54">
        <f t="shared" si="36"/>
        <v>0</v>
      </c>
      <c r="AP54" s="8">
        <f t="shared" si="37"/>
        <v>0</v>
      </c>
      <c r="AQ54" s="8">
        <f t="shared" si="78"/>
        <v>0</v>
      </c>
      <c r="AR54" s="106">
        <f t="shared" si="71"/>
        <v>2.6074999999999999</v>
      </c>
      <c r="AS54" s="106">
        <f t="shared" si="72"/>
        <v>0</v>
      </c>
      <c r="AT54" s="106">
        <f t="shared" si="73"/>
        <v>0</v>
      </c>
      <c r="AU54" s="106">
        <f t="shared" si="74"/>
        <v>0</v>
      </c>
      <c r="AV54" s="106">
        <f t="shared" si="75"/>
        <v>0</v>
      </c>
      <c r="AW54" t="b">
        <f t="shared" si="76"/>
        <v>1</v>
      </c>
      <c r="AX54" t="b">
        <f t="shared" si="77"/>
        <v>1</v>
      </c>
    </row>
    <row r="55" spans="1:50" x14ac:dyDescent="0.25">
      <c r="A55" s="1">
        <v>53</v>
      </c>
      <c r="B55" s="10">
        <v>40666</v>
      </c>
      <c r="C55" s="5">
        <v>5</v>
      </c>
      <c r="D55" s="13">
        <v>14</v>
      </c>
      <c r="E55" s="57" t="str">
        <f t="shared" si="46"/>
        <v>BD Ultrafine Insulin Syringes / 30G/ 0.5cc  [usage = 30 syringes per month]</v>
      </c>
      <c r="F55" t="str">
        <f t="shared" si="47"/>
        <v>Medical Supplies</v>
      </c>
      <c r="G55" t="str">
        <f t="shared" si="48"/>
        <v>Plan Deductible Only</v>
      </c>
      <c r="H55" s="109">
        <f t="shared" si="49"/>
        <v>42.66</v>
      </c>
      <c r="I55" s="109">
        <f t="shared" si="50"/>
        <v>0</v>
      </c>
      <c r="J55" s="109">
        <f t="shared" si="51"/>
        <v>42.66</v>
      </c>
      <c r="K55" s="5" t="str">
        <f t="shared" si="52"/>
        <v>None</v>
      </c>
      <c r="L55">
        <f t="shared" si="53"/>
        <v>0</v>
      </c>
      <c r="M55" s="3">
        <f t="shared" si="54"/>
        <v>0</v>
      </c>
      <c r="N55" s="5" t="str">
        <f t="shared" si="55"/>
        <v>None</v>
      </c>
      <c r="O55">
        <f t="shared" si="56"/>
        <v>4</v>
      </c>
      <c r="P55" s="3">
        <f t="shared" si="57"/>
        <v>0</v>
      </c>
      <c r="Q55" s="8">
        <f t="shared" si="12"/>
        <v>0</v>
      </c>
      <c r="R55" s="16">
        <f t="shared" si="13"/>
        <v>0</v>
      </c>
      <c r="S55" s="8">
        <f t="shared" si="14"/>
        <v>0</v>
      </c>
      <c r="T55" s="8">
        <f t="shared" si="58"/>
        <v>42.66</v>
      </c>
      <c r="U55" s="5" t="b">
        <f t="shared" si="16"/>
        <v>1</v>
      </c>
      <c r="V55" s="8">
        <f t="shared" si="59"/>
        <v>0</v>
      </c>
      <c r="W55" s="8">
        <f t="shared" si="60"/>
        <v>0</v>
      </c>
      <c r="X55" s="5" t="b">
        <f t="shared" si="19"/>
        <v>0</v>
      </c>
      <c r="Y55" s="8">
        <f t="shared" si="61"/>
        <v>0</v>
      </c>
      <c r="Z55" s="8">
        <f t="shared" si="62"/>
        <v>0</v>
      </c>
      <c r="AA55" s="5" t="b">
        <f t="shared" si="22"/>
        <v>0</v>
      </c>
      <c r="AB55" s="8">
        <f t="shared" si="63"/>
        <v>0</v>
      </c>
      <c r="AC55" s="8">
        <f t="shared" si="64"/>
        <v>0</v>
      </c>
      <c r="AD55" s="5" t="b">
        <f t="shared" si="65"/>
        <v>0</v>
      </c>
      <c r="AE55" s="8">
        <f t="shared" si="66"/>
        <v>0</v>
      </c>
      <c r="AF55" s="8">
        <f t="shared" si="67"/>
        <v>0</v>
      </c>
      <c r="AG55" s="5" t="b">
        <f t="shared" si="28"/>
        <v>0</v>
      </c>
      <c r="AH55" s="8">
        <f t="shared" si="68"/>
        <v>0</v>
      </c>
      <c r="AI55" s="8">
        <f t="shared" si="69"/>
        <v>0</v>
      </c>
      <c r="AJ55" s="24">
        <f t="shared" si="70"/>
        <v>0</v>
      </c>
      <c r="AK55" s="8">
        <f t="shared" si="32"/>
        <v>42.66</v>
      </c>
      <c r="AL55" s="8">
        <f t="shared" si="33"/>
        <v>0</v>
      </c>
      <c r="AM55" s="183" t="b">
        <f t="shared" si="34"/>
        <v>1</v>
      </c>
      <c r="AN55" s="8">
        <f t="shared" si="35"/>
        <v>0</v>
      </c>
      <c r="AO55" s="54">
        <f t="shared" si="36"/>
        <v>3519.9999999999995</v>
      </c>
      <c r="AP55" s="8">
        <f t="shared" si="37"/>
        <v>0</v>
      </c>
      <c r="AQ55" s="8">
        <f t="shared" si="78"/>
        <v>42.66</v>
      </c>
      <c r="AR55" s="106">
        <f t="shared" si="71"/>
        <v>0</v>
      </c>
      <c r="AS55" s="106">
        <f t="shared" si="72"/>
        <v>0</v>
      </c>
      <c r="AT55" s="106">
        <f t="shared" si="73"/>
        <v>0</v>
      </c>
      <c r="AU55" s="106">
        <f t="shared" si="74"/>
        <v>0</v>
      </c>
      <c r="AV55" s="106">
        <f t="shared" si="75"/>
        <v>0</v>
      </c>
      <c r="AW55" t="b">
        <f t="shared" si="76"/>
        <v>1</v>
      </c>
      <c r="AX55" t="b">
        <f t="shared" si="77"/>
        <v>1</v>
      </c>
    </row>
    <row r="56" spans="1:50" x14ac:dyDescent="0.25">
      <c r="A56" s="1">
        <v>54</v>
      </c>
      <c r="B56" s="10">
        <v>40666</v>
      </c>
      <c r="C56" s="5">
        <v>5</v>
      </c>
      <c r="D56" s="13">
        <v>32</v>
      </c>
      <c r="E56" s="57" t="str">
        <f t="shared" si="46"/>
        <v>METFORMIN HCL 850 MG TABLET</v>
      </c>
      <c r="F56" t="str">
        <f t="shared" si="47"/>
        <v>Prescription Drugs: Generic</v>
      </c>
      <c r="G56" t="str">
        <f t="shared" si="48"/>
        <v>Rx Deductible+Co-pay</v>
      </c>
      <c r="H56" s="109">
        <f t="shared" si="49"/>
        <v>9.19</v>
      </c>
      <c r="I56" s="109">
        <f t="shared" si="50"/>
        <v>0</v>
      </c>
      <c r="J56" s="109">
        <f t="shared" si="51"/>
        <v>9.19</v>
      </c>
      <c r="K56" s="5" t="str">
        <f t="shared" si="52"/>
        <v>None</v>
      </c>
      <c r="L56">
        <f t="shared" si="53"/>
        <v>0</v>
      </c>
      <c r="M56" s="3">
        <f t="shared" si="54"/>
        <v>0</v>
      </c>
      <c r="N56" s="5" t="str">
        <f t="shared" si="55"/>
        <v>None</v>
      </c>
      <c r="O56">
        <f t="shared" si="56"/>
        <v>4</v>
      </c>
      <c r="P56" s="3">
        <f t="shared" si="57"/>
        <v>0</v>
      </c>
      <c r="Q56" s="8">
        <f t="shared" si="12"/>
        <v>10</v>
      </c>
      <c r="R56" s="16">
        <f t="shared" si="13"/>
        <v>0</v>
      </c>
      <c r="S56" s="8">
        <f t="shared" si="14"/>
        <v>0</v>
      </c>
      <c r="T56" s="8">
        <f t="shared" si="58"/>
        <v>0</v>
      </c>
      <c r="U56" s="5" t="b">
        <f t="shared" si="16"/>
        <v>0</v>
      </c>
      <c r="V56" s="8">
        <f t="shared" si="59"/>
        <v>0</v>
      </c>
      <c r="W56" s="8">
        <f t="shared" si="60"/>
        <v>0</v>
      </c>
      <c r="X56" s="5" t="b">
        <f t="shared" si="19"/>
        <v>1</v>
      </c>
      <c r="Y56" s="8">
        <f t="shared" si="61"/>
        <v>0</v>
      </c>
      <c r="Z56" s="8">
        <f t="shared" si="62"/>
        <v>0</v>
      </c>
      <c r="AA56" s="5" t="b">
        <f t="shared" si="22"/>
        <v>0</v>
      </c>
      <c r="AB56" s="8">
        <f t="shared" si="63"/>
        <v>0</v>
      </c>
      <c r="AC56" s="8">
        <f t="shared" si="64"/>
        <v>0</v>
      </c>
      <c r="AD56" s="5" t="b">
        <f t="shared" si="65"/>
        <v>0</v>
      </c>
      <c r="AE56" s="8">
        <f t="shared" si="66"/>
        <v>0</v>
      </c>
      <c r="AF56" s="8">
        <f t="shared" si="67"/>
        <v>0</v>
      </c>
      <c r="AG56" s="5" t="b">
        <f t="shared" si="28"/>
        <v>0</v>
      </c>
      <c r="AH56" s="8">
        <f t="shared" si="68"/>
        <v>0</v>
      </c>
      <c r="AI56" s="8">
        <f t="shared" si="69"/>
        <v>0</v>
      </c>
      <c r="AJ56" s="24">
        <f t="shared" si="70"/>
        <v>0</v>
      </c>
      <c r="AK56" s="8">
        <f t="shared" si="32"/>
        <v>9.19</v>
      </c>
      <c r="AL56" s="8">
        <f t="shared" si="33"/>
        <v>10</v>
      </c>
      <c r="AM56" s="183" t="b">
        <f t="shared" si="34"/>
        <v>1</v>
      </c>
      <c r="AN56" s="8">
        <f t="shared" si="35"/>
        <v>10</v>
      </c>
      <c r="AO56" s="54">
        <f t="shared" si="36"/>
        <v>3519.9999999999995</v>
      </c>
      <c r="AP56" s="8">
        <f t="shared" si="37"/>
        <v>10</v>
      </c>
      <c r="AQ56" s="8">
        <f t="shared" si="78"/>
        <v>0</v>
      </c>
      <c r="AR56" s="106">
        <f t="shared" si="71"/>
        <v>0</v>
      </c>
      <c r="AS56" s="106">
        <f t="shared" si="72"/>
        <v>0</v>
      </c>
      <c r="AT56" s="106">
        <f t="shared" si="73"/>
        <v>10</v>
      </c>
      <c r="AU56" s="106">
        <f t="shared" si="74"/>
        <v>0</v>
      </c>
      <c r="AV56" s="106">
        <f t="shared" si="75"/>
        <v>0</v>
      </c>
      <c r="AW56" t="b">
        <f t="shared" si="76"/>
        <v>1</v>
      </c>
      <c r="AX56" t="b">
        <f t="shared" si="77"/>
        <v>0</v>
      </c>
    </row>
    <row r="57" spans="1:50" x14ac:dyDescent="0.25">
      <c r="A57" s="1">
        <v>55</v>
      </c>
      <c r="B57" s="10">
        <v>40666</v>
      </c>
      <c r="C57" s="5">
        <v>5</v>
      </c>
      <c r="D57" s="13">
        <v>19</v>
      </c>
      <c r="E57" s="57" t="str">
        <f t="shared" si="46"/>
        <v>Ramipril 10mg (Rx) [1 QD; #30 pills/month]</v>
      </c>
      <c r="F57" t="str">
        <f t="shared" si="47"/>
        <v>Prescription Drugs: Generic</v>
      </c>
      <c r="G57" t="str">
        <f t="shared" si="48"/>
        <v>Rx Deductible+Co-pay</v>
      </c>
      <c r="H57" s="109">
        <f t="shared" si="49"/>
        <v>15.92</v>
      </c>
      <c r="I57" s="109">
        <f t="shared" si="50"/>
        <v>0</v>
      </c>
      <c r="J57" s="109">
        <f t="shared" si="51"/>
        <v>15.92</v>
      </c>
      <c r="K57" s="5" t="str">
        <f t="shared" si="52"/>
        <v>None</v>
      </c>
      <c r="L57">
        <f t="shared" si="53"/>
        <v>0</v>
      </c>
      <c r="M57" s="3">
        <f t="shared" si="54"/>
        <v>0</v>
      </c>
      <c r="N57" s="5" t="str">
        <f t="shared" si="55"/>
        <v>None</v>
      </c>
      <c r="O57">
        <f t="shared" si="56"/>
        <v>4</v>
      </c>
      <c r="P57" s="3">
        <f t="shared" si="57"/>
        <v>0</v>
      </c>
      <c r="Q57" s="8">
        <f t="shared" si="12"/>
        <v>10</v>
      </c>
      <c r="R57" s="16">
        <f t="shared" si="13"/>
        <v>0</v>
      </c>
      <c r="S57" s="8">
        <f t="shared" si="14"/>
        <v>0</v>
      </c>
      <c r="T57" s="8">
        <f t="shared" si="58"/>
        <v>5.92</v>
      </c>
      <c r="U57" s="5" t="b">
        <f t="shared" si="16"/>
        <v>0</v>
      </c>
      <c r="V57" s="8">
        <f t="shared" si="59"/>
        <v>0</v>
      </c>
      <c r="W57" s="8">
        <f t="shared" si="60"/>
        <v>0</v>
      </c>
      <c r="X57" s="5" t="b">
        <f t="shared" si="19"/>
        <v>1</v>
      </c>
      <c r="Y57" s="8">
        <f t="shared" si="61"/>
        <v>0</v>
      </c>
      <c r="Z57" s="8">
        <f t="shared" si="62"/>
        <v>0</v>
      </c>
      <c r="AA57" s="5" t="b">
        <f t="shared" si="22"/>
        <v>0</v>
      </c>
      <c r="AB57" s="8">
        <f t="shared" si="63"/>
        <v>0</v>
      </c>
      <c r="AC57" s="8">
        <f t="shared" si="64"/>
        <v>0</v>
      </c>
      <c r="AD57" s="5" t="b">
        <f t="shared" si="65"/>
        <v>0</v>
      </c>
      <c r="AE57" s="8">
        <f t="shared" si="66"/>
        <v>0</v>
      </c>
      <c r="AF57" s="8">
        <f t="shared" si="67"/>
        <v>0</v>
      </c>
      <c r="AG57" s="5" t="b">
        <f t="shared" si="28"/>
        <v>0</v>
      </c>
      <c r="AH57" s="8">
        <f t="shared" si="68"/>
        <v>0</v>
      </c>
      <c r="AI57" s="8">
        <f t="shared" si="69"/>
        <v>0</v>
      </c>
      <c r="AJ57" s="24">
        <f t="shared" si="70"/>
        <v>0</v>
      </c>
      <c r="AK57" s="8">
        <f t="shared" si="32"/>
        <v>15.92</v>
      </c>
      <c r="AL57" s="8">
        <f t="shared" si="33"/>
        <v>10</v>
      </c>
      <c r="AM57" s="183" t="b">
        <f t="shared" si="34"/>
        <v>1</v>
      </c>
      <c r="AN57" s="8">
        <f t="shared" si="35"/>
        <v>10</v>
      </c>
      <c r="AO57" s="54">
        <f t="shared" si="36"/>
        <v>3509.9999999999995</v>
      </c>
      <c r="AP57" s="8">
        <f t="shared" si="37"/>
        <v>10</v>
      </c>
      <c r="AQ57" s="8">
        <f t="shared" si="78"/>
        <v>5.92</v>
      </c>
      <c r="AR57" s="106">
        <f t="shared" si="71"/>
        <v>0</v>
      </c>
      <c r="AS57" s="106">
        <f t="shared" si="72"/>
        <v>0</v>
      </c>
      <c r="AT57" s="106">
        <f t="shared" si="73"/>
        <v>10</v>
      </c>
      <c r="AU57" s="106">
        <f t="shared" si="74"/>
        <v>0</v>
      </c>
      <c r="AV57" s="106">
        <f t="shared" si="75"/>
        <v>0</v>
      </c>
      <c r="AW57" t="b">
        <f t="shared" si="76"/>
        <v>1</v>
      </c>
      <c r="AX57" t="b">
        <f t="shared" si="77"/>
        <v>1</v>
      </c>
    </row>
    <row r="58" spans="1:50" x14ac:dyDescent="0.25">
      <c r="A58" s="1">
        <v>56</v>
      </c>
      <c r="B58" s="10">
        <v>41052</v>
      </c>
      <c r="C58" s="5">
        <v>5</v>
      </c>
      <c r="D58" s="13">
        <v>5</v>
      </c>
      <c r="E58" s="57" t="str">
        <f t="shared" si="46"/>
        <v>OneTouch Delica Lancets (100 per box)  [usage = 60 lancets per month]</v>
      </c>
      <c r="F58" t="str">
        <f t="shared" si="47"/>
        <v>Medical Supplies</v>
      </c>
      <c r="G58" t="str">
        <f t="shared" si="48"/>
        <v>Plan Deductible Only</v>
      </c>
      <c r="H58" s="109">
        <f t="shared" si="49"/>
        <v>10.38</v>
      </c>
      <c r="I58" s="109">
        <f t="shared" si="50"/>
        <v>0</v>
      </c>
      <c r="J58" s="109">
        <f t="shared" si="51"/>
        <v>10.38</v>
      </c>
      <c r="K58" s="5" t="str">
        <f t="shared" si="52"/>
        <v>None</v>
      </c>
      <c r="L58">
        <f t="shared" si="53"/>
        <v>0</v>
      </c>
      <c r="M58" s="3">
        <f t="shared" si="54"/>
        <v>0</v>
      </c>
      <c r="N58" s="5" t="str">
        <f t="shared" si="55"/>
        <v>None</v>
      </c>
      <c r="O58">
        <f t="shared" si="56"/>
        <v>3</v>
      </c>
      <c r="P58" s="3">
        <f t="shared" si="57"/>
        <v>0</v>
      </c>
      <c r="Q58" s="8">
        <f t="shared" si="12"/>
        <v>0</v>
      </c>
      <c r="R58" s="16">
        <f t="shared" si="13"/>
        <v>0</v>
      </c>
      <c r="S58" s="8">
        <f t="shared" si="14"/>
        <v>0</v>
      </c>
      <c r="T58" s="8">
        <f t="shared" si="58"/>
        <v>10.38</v>
      </c>
      <c r="U58" s="5" t="b">
        <f t="shared" si="16"/>
        <v>1</v>
      </c>
      <c r="V58" s="8">
        <f t="shared" si="59"/>
        <v>0</v>
      </c>
      <c r="W58" s="8">
        <f t="shared" si="60"/>
        <v>0</v>
      </c>
      <c r="X58" s="5" t="b">
        <f t="shared" si="19"/>
        <v>0</v>
      </c>
      <c r="Y58" s="8">
        <f t="shared" si="61"/>
        <v>0</v>
      </c>
      <c r="Z58" s="8">
        <f t="shared" si="62"/>
        <v>0</v>
      </c>
      <c r="AA58" s="5" t="b">
        <f t="shared" si="22"/>
        <v>0</v>
      </c>
      <c r="AB58" s="8">
        <f t="shared" si="63"/>
        <v>0</v>
      </c>
      <c r="AC58" s="8">
        <f t="shared" si="64"/>
        <v>0</v>
      </c>
      <c r="AD58" s="5" t="b">
        <f t="shared" si="65"/>
        <v>0</v>
      </c>
      <c r="AE58" s="8">
        <f t="shared" si="66"/>
        <v>0</v>
      </c>
      <c r="AF58" s="8">
        <f t="shared" si="67"/>
        <v>0</v>
      </c>
      <c r="AG58" s="5" t="b">
        <f t="shared" si="28"/>
        <v>0</v>
      </c>
      <c r="AH58" s="8">
        <f t="shared" si="68"/>
        <v>0</v>
      </c>
      <c r="AI58" s="8">
        <f t="shared" si="69"/>
        <v>0</v>
      </c>
      <c r="AJ58" s="24">
        <f t="shared" si="70"/>
        <v>0</v>
      </c>
      <c r="AK58" s="8">
        <f t="shared" si="32"/>
        <v>10.38</v>
      </c>
      <c r="AL58" s="8">
        <f t="shared" si="33"/>
        <v>0</v>
      </c>
      <c r="AM58" s="183" t="b">
        <f t="shared" si="34"/>
        <v>1</v>
      </c>
      <c r="AN58" s="8">
        <f t="shared" si="35"/>
        <v>0</v>
      </c>
      <c r="AO58" s="54">
        <f t="shared" si="36"/>
        <v>3499.9999999999995</v>
      </c>
      <c r="AP58" s="8">
        <f t="shared" si="37"/>
        <v>0</v>
      </c>
      <c r="AQ58" s="8">
        <f t="shared" si="78"/>
        <v>10.38</v>
      </c>
      <c r="AR58" s="106">
        <f t="shared" si="71"/>
        <v>0</v>
      </c>
      <c r="AS58" s="106">
        <f t="shared" si="72"/>
        <v>0</v>
      </c>
      <c r="AT58" s="106">
        <f t="shared" si="73"/>
        <v>0</v>
      </c>
      <c r="AU58" s="106">
        <f t="shared" si="74"/>
        <v>0</v>
      </c>
      <c r="AV58" s="106">
        <f t="shared" si="75"/>
        <v>0</v>
      </c>
      <c r="AW58" t="b">
        <f t="shared" si="76"/>
        <v>1</v>
      </c>
      <c r="AX58" t="b">
        <f t="shared" si="77"/>
        <v>1</v>
      </c>
    </row>
    <row r="59" spans="1:50" x14ac:dyDescent="0.25">
      <c r="A59" s="1">
        <v>57</v>
      </c>
      <c r="B59" s="10">
        <v>40686</v>
      </c>
      <c r="C59" s="5">
        <v>5</v>
      </c>
      <c r="D59" s="13">
        <v>17</v>
      </c>
      <c r="E59" s="57" t="str">
        <f t="shared" si="46"/>
        <v>Insulin glargine 100 unit/ml injectable solution (Rx - 10ml vial)  [20 units QD; expires 28 days after first use]</v>
      </c>
      <c r="F59" t="str">
        <f t="shared" si="47"/>
        <v>Prescription Drugs: Branded</v>
      </c>
      <c r="G59" t="str">
        <f t="shared" si="48"/>
        <v>Rx Deductible+Co-pay</v>
      </c>
      <c r="H59" s="109">
        <f t="shared" si="49"/>
        <v>275.51</v>
      </c>
      <c r="I59" s="109">
        <f t="shared" si="50"/>
        <v>0</v>
      </c>
      <c r="J59" s="109">
        <f t="shared" si="51"/>
        <v>275.51</v>
      </c>
      <c r="K59" s="5" t="str">
        <f t="shared" si="52"/>
        <v>None</v>
      </c>
      <c r="L59">
        <f t="shared" si="53"/>
        <v>0</v>
      </c>
      <c r="M59" s="3">
        <f t="shared" si="54"/>
        <v>0</v>
      </c>
      <c r="N59" s="5" t="str">
        <f t="shared" si="55"/>
        <v>None</v>
      </c>
      <c r="O59">
        <f t="shared" si="56"/>
        <v>5</v>
      </c>
      <c r="P59" s="3">
        <f t="shared" si="57"/>
        <v>0</v>
      </c>
      <c r="Q59" s="8">
        <f t="shared" si="12"/>
        <v>30</v>
      </c>
      <c r="R59" s="16">
        <f t="shared" si="13"/>
        <v>0</v>
      </c>
      <c r="S59" s="8">
        <f t="shared" si="14"/>
        <v>0</v>
      </c>
      <c r="T59" s="8">
        <f t="shared" si="58"/>
        <v>245.51</v>
      </c>
      <c r="U59" s="5" t="b">
        <f t="shared" si="16"/>
        <v>0</v>
      </c>
      <c r="V59" s="8">
        <f t="shared" si="59"/>
        <v>0</v>
      </c>
      <c r="W59" s="8">
        <f t="shared" si="60"/>
        <v>0</v>
      </c>
      <c r="X59" s="5" t="b">
        <f t="shared" si="19"/>
        <v>1</v>
      </c>
      <c r="Y59" s="8">
        <f t="shared" si="61"/>
        <v>0</v>
      </c>
      <c r="Z59" s="8">
        <f t="shared" si="62"/>
        <v>0</v>
      </c>
      <c r="AA59" s="5" t="b">
        <f t="shared" si="22"/>
        <v>0</v>
      </c>
      <c r="AB59" s="8">
        <f t="shared" si="63"/>
        <v>0</v>
      </c>
      <c r="AC59" s="8">
        <f t="shared" si="64"/>
        <v>0</v>
      </c>
      <c r="AD59" s="5" t="b">
        <f t="shared" si="65"/>
        <v>0</v>
      </c>
      <c r="AE59" s="8">
        <f t="shared" si="66"/>
        <v>0</v>
      </c>
      <c r="AF59" s="8">
        <f t="shared" si="67"/>
        <v>0</v>
      </c>
      <c r="AG59" s="5" t="b">
        <f t="shared" si="28"/>
        <v>0</v>
      </c>
      <c r="AH59" s="8">
        <f t="shared" si="68"/>
        <v>0</v>
      </c>
      <c r="AI59" s="8">
        <f t="shared" si="69"/>
        <v>0</v>
      </c>
      <c r="AJ59" s="24">
        <f t="shared" si="70"/>
        <v>0</v>
      </c>
      <c r="AK59" s="8">
        <f t="shared" si="32"/>
        <v>275.51</v>
      </c>
      <c r="AL59" s="8">
        <f t="shared" si="33"/>
        <v>30</v>
      </c>
      <c r="AM59" s="183" t="b">
        <f t="shared" si="34"/>
        <v>1</v>
      </c>
      <c r="AN59" s="8">
        <f t="shared" si="35"/>
        <v>30</v>
      </c>
      <c r="AO59" s="54">
        <f t="shared" si="36"/>
        <v>3499.9999999999995</v>
      </c>
      <c r="AP59" s="8">
        <f t="shared" si="37"/>
        <v>30</v>
      </c>
      <c r="AQ59" s="8">
        <f t="shared" si="78"/>
        <v>245.51</v>
      </c>
      <c r="AR59" s="106">
        <f t="shared" si="71"/>
        <v>0</v>
      </c>
      <c r="AS59" s="106">
        <f t="shared" si="72"/>
        <v>0</v>
      </c>
      <c r="AT59" s="106">
        <f t="shared" si="73"/>
        <v>30</v>
      </c>
      <c r="AU59" s="106">
        <f t="shared" si="74"/>
        <v>0</v>
      </c>
      <c r="AV59" s="106">
        <f t="shared" si="75"/>
        <v>0</v>
      </c>
      <c r="AW59" t="b">
        <f t="shared" si="76"/>
        <v>1</v>
      </c>
      <c r="AX59" t="b">
        <f t="shared" si="77"/>
        <v>1</v>
      </c>
    </row>
    <row r="60" spans="1:50" x14ac:dyDescent="0.25">
      <c r="A60" s="1">
        <v>58</v>
      </c>
      <c r="B60" s="10">
        <v>40696</v>
      </c>
      <c r="C60" s="5">
        <v>6</v>
      </c>
      <c r="D60" s="13">
        <v>25</v>
      </c>
      <c r="E60" s="57" t="str">
        <f t="shared" si="46"/>
        <v>Alcohol swabs (OTC - box of 100)  [usage = 3 wipes/day; 90 wipes/month]</v>
      </c>
      <c r="F60" t="str">
        <f t="shared" si="47"/>
        <v>Over-the-counter Drugs</v>
      </c>
      <c r="G60" t="str">
        <f t="shared" si="48"/>
        <v>Not Covered</v>
      </c>
      <c r="H60" s="109">
        <f t="shared" si="49"/>
        <v>2.6074999999999999</v>
      </c>
      <c r="I60" s="109">
        <f t="shared" si="50"/>
        <v>2.6074999999999999</v>
      </c>
      <c r="J60" s="109">
        <f t="shared" si="51"/>
        <v>0</v>
      </c>
      <c r="K60" s="5" t="str">
        <f t="shared" si="52"/>
        <v>None</v>
      </c>
      <c r="L60">
        <f t="shared" si="53"/>
        <v>0</v>
      </c>
      <c r="M60" s="3">
        <f t="shared" si="54"/>
        <v>0</v>
      </c>
      <c r="N60" s="5" t="str">
        <f t="shared" si="55"/>
        <v>None</v>
      </c>
      <c r="O60">
        <f t="shared" si="56"/>
        <v>5</v>
      </c>
      <c r="P60" s="3">
        <f t="shared" si="57"/>
        <v>0</v>
      </c>
      <c r="Q60" s="8">
        <f t="shared" si="12"/>
        <v>0</v>
      </c>
      <c r="R60" s="16">
        <f t="shared" si="13"/>
        <v>0</v>
      </c>
      <c r="S60" s="8">
        <f t="shared" si="14"/>
        <v>0</v>
      </c>
      <c r="T60" s="8">
        <f t="shared" si="58"/>
        <v>0</v>
      </c>
      <c r="U60" s="5" t="b">
        <f t="shared" si="16"/>
        <v>0</v>
      </c>
      <c r="V60" s="8">
        <f t="shared" si="59"/>
        <v>0</v>
      </c>
      <c r="W60" s="8">
        <f t="shared" si="60"/>
        <v>0</v>
      </c>
      <c r="X60" s="5" t="b">
        <f t="shared" si="19"/>
        <v>0</v>
      </c>
      <c r="Y60" s="8">
        <f t="shared" si="61"/>
        <v>0</v>
      </c>
      <c r="Z60" s="8">
        <f t="shared" si="62"/>
        <v>0</v>
      </c>
      <c r="AA60" s="5" t="b">
        <f t="shared" si="22"/>
        <v>0</v>
      </c>
      <c r="AB60" s="8">
        <f t="shared" si="63"/>
        <v>0</v>
      </c>
      <c r="AC60" s="8">
        <f t="shared" si="64"/>
        <v>0</v>
      </c>
      <c r="AD60" s="5" t="b">
        <f t="shared" si="65"/>
        <v>0</v>
      </c>
      <c r="AE60" s="8">
        <f t="shared" si="66"/>
        <v>0</v>
      </c>
      <c r="AF60" s="8">
        <f t="shared" si="67"/>
        <v>0</v>
      </c>
      <c r="AG60" s="5" t="b">
        <f t="shared" si="28"/>
        <v>0</v>
      </c>
      <c r="AH60" s="8">
        <f t="shared" si="68"/>
        <v>0</v>
      </c>
      <c r="AI60" s="8">
        <f t="shared" si="69"/>
        <v>0</v>
      </c>
      <c r="AJ60" s="24">
        <f t="shared" si="70"/>
        <v>0</v>
      </c>
      <c r="AK60" s="8">
        <f t="shared" si="32"/>
        <v>0</v>
      </c>
      <c r="AL60" s="8">
        <f t="shared" si="33"/>
        <v>0</v>
      </c>
      <c r="AM60" s="183" t="b">
        <f t="shared" si="34"/>
        <v>0</v>
      </c>
      <c r="AN60" s="8">
        <f t="shared" si="35"/>
        <v>0</v>
      </c>
      <c r="AO60" s="54">
        <f t="shared" si="36"/>
        <v>0</v>
      </c>
      <c r="AP60" s="8">
        <f t="shared" si="37"/>
        <v>0</v>
      </c>
      <c r="AQ60" s="8">
        <f t="shared" si="78"/>
        <v>0</v>
      </c>
      <c r="AR60" s="106">
        <f t="shared" si="71"/>
        <v>2.6074999999999999</v>
      </c>
      <c r="AS60" s="106">
        <f t="shared" si="72"/>
        <v>0</v>
      </c>
      <c r="AT60" s="106">
        <f t="shared" si="73"/>
        <v>0</v>
      </c>
      <c r="AU60" s="106">
        <f t="shared" si="74"/>
        <v>0</v>
      </c>
      <c r="AV60" s="106">
        <f t="shared" si="75"/>
        <v>0</v>
      </c>
      <c r="AW60" t="b">
        <f t="shared" si="76"/>
        <v>1</v>
      </c>
      <c r="AX60" t="b">
        <f t="shared" si="77"/>
        <v>1</v>
      </c>
    </row>
    <row r="61" spans="1:50" x14ac:dyDescent="0.25">
      <c r="A61" s="1">
        <v>59</v>
      </c>
      <c r="B61" s="10">
        <v>40696</v>
      </c>
      <c r="C61" s="5">
        <v>6</v>
      </c>
      <c r="D61" s="13">
        <v>14</v>
      </c>
      <c r="E61" s="57" t="str">
        <f t="shared" si="46"/>
        <v>BD Ultrafine Insulin Syringes / 30G/ 0.5cc  [usage = 30 syringes per month]</v>
      </c>
      <c r="F61" t="str">
        <f t="shared" si="47"/>
        <v>Medical Supplies</v>
      </c>
      <c r="G61" t="str">
        <f t="shared" si="48"/>
        <v>Plan Deductible Only</v>
      </c>
      <c r="H61" s="109">
        <f t="shared" si="49"/>
        <v>42.66</v>
      </c>
      <c r="I61" s="109">
        <f t="shared" si="50"/>
        <v>0</v>
      </c>
      <c r="J61" s="109">
        <f t="shared" si="51"/>
        <v>42.66</v>
      </c>
      <c r="K61" s="5" t="str">
        <f t="shared" si="52"/>
        <v>None</v>
      </c>
      <c r="L61">
        <f t="shared" si="53"/>
        <v>0</v>
      </c>
      <c r="M61" s="3">
        <f t="shared" si="54"/>
        <v>0</v>
      </c>
      <c r="N61" s="5" t="str">
        <f t="shared" si="55"/>
        <v>None</v>
      </c>
      <c r="O61">
        <f t="shared" si="56"/>
        <v>5</v>
      </c>
      <c r="P61" s="3">
        <f t="shared" si="57"/>
        <v>0</v>
      </c>
      <c r="Q61" s="8">
        <f t="shared" si="12"/>
        <v>0</v>
      </c>
      <c r="R61" s="16">
        <f t="shared" si="13"/>
        <v>0</v>
      </c>
      <c r="S61" s="8">
        <f t="shared" si="14"/>
        <v>0</v>
      </c>
      <c r="T61" s="8">
        <f t="shared" si="58"/>
        <v>42.66</v>
      </c>
      <c r="U61" s="5" t="b">
        <f t="shared" si="16"/>
        <v>1</v>
      </c>
      <c r="V61" s="8">
        <f t="shared" si="59"/>
        <v>0</v>
      </c>
      <c r="W61" s="8">
        <f t="shared" si="60"/>
        <v>0</v>
      </c>
      <c r="X61" s="5" t="b">
        <f t="shared" si="19"/>
        <v>0</v>
      </c>
      <c r="Y61" s="8">
        <f t="shared" si="61"/>
        <v>0</v>
      </c>
      <c r="Z61" s="8">
        <f t="shared" si="62"/>
        <v>0</v>
      </c>
      <c r="AA61" s="5" t="b">
        <f t="shared" si="22"/>
        <v>0</v>
      </c>
      <c r="AB61" s="8">
        <f t="shared" si="63"/>
        <v>0</v>
      </c>
      <c r="AC61" s="8">
        <f t="shared" si="64"/>
        <v>0</v>
      </c>
      <c r="AD61" s="5" t="b">
        <f t="shared" si="65"/>
        <v>0</v>
      </c>
      <c r="AE61" s="8">
        <f t="shared" si="66"/>
        <v>0</v>
      </c>
      <c r="AF61" s="8">
        <f t="shared" si="67"/>
        <v>0</v>
      </c>
      <c r="AG61" s="5" t="b">
        <f t="shared" si="28"/>
        <v>0</v>
      </c>
      <c r="AH61" s="8">
        <f t="shared" si="68"/>
        <v>0</v>
      </c>
      <c r="AI61" s="8">
        <f t="shared" si="69"/>
        <v>0</v>
      </c>
      <c r="AJ61" s="24">
        <f t="shared" si="70"/>
        <v>0</v>
      </c>
      <c r="AK61" s="8">
        <f t="shared" si="32"/>
        <v>42.66</v>
      </c>
      <c r="AL61" s="8">
        <f t="shared" si="33"/>
        <v>0</v>
      </c>
      <c r="AM61" s="183" t="b">
        <f t="shared" si="34"/>
        <v>1</v>
      </c>
      <c r="AN61" s="8">
        <f t="shared" si="35"/>
        <v>0</v>
      </c>
      <c r="AO61" s="54">
        <f t="shared" si="36"/>
        <v>3469.9999999999995</v>
      </c>
      <c r="AP61" s="8">
        <f t="shared" si="37"/>
        <v>0</v>
      </c>
      <c r="AQ61" s="8">
        <f t="shared" si="78"/>
        <v>42.66</v>
      </c>
      <c r="AR61" s="106">
        <f t="shared" si="71"/>
        <v>0</v>
      </c>
      <c r="AS61" s="106">
        <f t="shared" si="72"/>
        <v>0</v>
      </c>
      <c r="AT61" s="106">
        <f t="shared" si="73"/>
        <v>0</v>
      </c>
      <c r="AU61" s="106">
        <f t="shared" si="74"/>
        <v>0</v>
      </c>
      <c r="AV61" s="106">
        <f t="shared" si="75"/>
        <v>0</v>
      </c>
      <c r="AW61" t="b">
        <f t="shared" si="76"/>
        <v>1</v>
      </c>
      <c r="AX61" t="b">
        <f t="shared" si="77"/>
        <v>1</v>
      </c>
    </row>
    <row r="62" spans="1:50" x14ac:dyDescent="0.25">
      <c r="A62" s="1">
        <v>60</v>
      </c>
      <c r="B62" s="10">
        <v>40696</v>
      </c>
      <c r="C62" s="5">
        <v>6</v>
      </c>
      <c r="D62" s="13">
        <v>5</v>
      </c>
      <c r="E62" s="57" t="str">
        <f t="shared" si="46"/>
        <v>OneTouch Delica Lancets (100 per box)  [usage = 60 lancets per month]</v>
      </c>
      <c r="F62" t="str">
        <f t="shared" si="47"/>
        <v>Medical Supplies</v>
      </c>
      <c r="G62" t="str">
        <f t="shared" si="48"/>
        <v>Plan Deductible Only</v>
      </c>
      <c r="H62" s="109">
        <f t="shared" si="49"/>
        <v>10.38</v>
      </c>
      <c r="I62" s="109">
        <f t="shared" si="50"/>
        <v>0</v>
      </c>
      <c r="J62" s="109">
        <f t="shared" si="51"/>
        <v>10.38</v>
      </c>
      <c r="K62" s="5" t="str">
        <f t="shared" si="52"/>
        <v>None</v>
      </c>
      <c r="L62">
        <f t="shared" si="53"/>
        <v>0</v>
      </c>
      <c r="M62" s="3">
        <f t="shared" si="54"/>
        <v>0</v>
      </c>
      <c r="N62" s="5" t="str">
        <f t="shared" si="55"/>
        <v>None</v>
      </c>
      <c r="O62">
        <f t="shared" si="56"/>
        <v>4</v>
      </c>
      <c r="P62" s="3">
        <f t="shared" si="57"/>
        <v>0</v>
      </c>
      <c r="Q62" s="8">
        <f t="shared" si="12"/>
        <v>0</v>
      </c>
      <c r="R62" s="16">
        <f t="shared" si="13"/>
        <v>0</v>
      </c>
      <c r="S62" s="8">
        <f t="shared" si="14"/>
        <v>0</v>
      </c>
      <c r="T62" s="8">
        <f t="shared" si="58"/>
        <v>10.38</v>
      </c>
      <c r="U62" s="5" t="b">
        <f t="shared" si="16"/>
        <v>1</v>
      </c>
      <c r="V62" s="8">
        <f t="shared" si="59"/>
        <v>0</v>
      </c>
      <c r="W62" s="8">
        <f t="shared" si="60"/>
        <v>0</v>
      </c>
      <c r="X62" s="5" t="b">
        <f t="shared" si="19"/>
        <v>0</v>
      </c>
      <c r="Y62" s="8">
        <f t="shared" si="61"/>
        <v>0</v>
      </c>
      <c r="Z62" s="8">
        <f t="shared" si="62"/>
        <v>0</v>
      </c>
      <c r="AA62" s="5" t="b">
        <f t="shared" si="22"/>
        <v>0</v>
      </c>
      <c r="AB62" s="8">
        <f t="shared" si="63"/>
        <v>0</v>
      </c>
      <c r="AC62" s="8">
        <f t="shared" si="64"/>
        <v>0</v>
      </c>
      <c r="AD62" s="5" t="b">
        <f t="shared" si="65"/>
        <v>0</v>
      </c>
      <c r="AE62" s="8">
        <f t="shared" si="66"/>
        <v>0</v>
      </c>
      <c r="AF62" s="8">
        <f t="shared" si="67"/>
        <v>0</v>
      </c>
      <c r="AG62" s="5" t="b">
        <f t="shared" si="28"/>
        <v>0</v>
      </c>
      <c r="AH62" s="8">
        <f t="shared" si="68"/>
        <v>0</v>
      </c>
      <c r="AI62" s="8">
        <f t="shared" si="69"/>
        <v>0</v>
      </c>
      <c r="AJ62" s="24">
        <f t="shared" si="70"/>
        <v>0</v>
      </c>
      <c r="AK62" s="8">
        <f t="shared" si="32"/>
        <v>10.38</v>
      </c>
      <c r="AL62" s="8">
        <f t="shared" si="33"/>
        <v>0</v>
      </c>
      <c r="AM62" s="183" t="b">
        <f t="shared" si="34"/>
        <v>1</v>
      </c>
      <c r="AN62" s="8">
        <f t="shared" si="35"/>
        <v>0</v>
      </c>
      <c r="AO62" s="54">
        <f t="shared" si="36"/>
        <v>3469.9999999999995</v>
      </c>
      <c r="AP62" s="8">
        <f t="shared" si="37"/>
        <v>0</v>
      </c>
      <c r="AQ62" s="8">
        <f t="shared" si="78"/>
        <v>10.38</v>
      </c>
      <c r="AR62" s="106">
        <f t="shared" si="71"/>
        <v>0</v>
      </c>
      <c r="AS62" s="106">
        <f t="shared" si="72"/>
        <v>0</v>
      </c>
      <c r="AT62" s="106">
        <f t="shared" si="73"/>
        <v>0</v>
      </c>
      <c r="AU62" s="106">
        <f t="shared" si="74"/>
        <v>0</v>
      </c>
      <c r="AV62" s="106">
        <f t="shared" si="75"/>
        <v>0</v>
      </c>
      <c r="AW62" t="b">
        <f t="shared" si="76"/>
        <v>1</v>
      </c>
      <c r="AX62" t="b">
        <f t="shared" si="77"/>
        <v>1</v>
      </c>
    </row>
    <row r="63" spans="1:50" x14ac:dyDescent="0.25">
      <c r="A63" s="1">
        <v>61</v>
      </c>
      <c r="B63" s="10">
        <v>40696</v>
      </c>
      <c r="C63" s="5">
        <v>6</v>
      </c>
      <c r="D63" s="13">
        <v>4</v>
      </c>
      <c r="E63" s="57" t="str">
        <f t="shared" si="46"/>
        <v xml:space="preserve">OneTouch Ultra Blue Test Strips (Rx - box of 100) [usage = 2 strips/day; 60 per month] </v>
      </c>
      <c r="F63" t="str">
        <f t="shared" si="47"/>
        <v>Medical Supplies</v>
      </c>
      <c r="G63" t="str">
        <f t="shared" si="48"/>
        <v>Plan Deductible Only</v>
      </c>
      <c r="H63" s="109">
        <f t="shared" si="49"/>
        <v>125.26</v>
      </c>
      <c r="I63" s="109">
        <f t="shared" si="50"/>
        <v>0</v>
      </c>
      <c r="J63" s="109">
        <f t="shared" si="51"/>
        <v>125.26</v>
      </c>
      <c r="K63" s="5" t="str">
        <f t="shared" si="52"/>
        <v>None</v>
      </c>
      <c r="L63">
        <f t="shared" si="53"/>
        <v>0</v>
      </c>
      <c r="M63" s="3">
        <f t="shared" si="54"/>
        <v>0</v>
      </c>
      <c r="N63" s="5" t="str">
        <f t="shared" si="55"/>
        <v>None</v>
      </c>
      <c r="O63">
        <f t="shared" si="56"/>
        <v>3</v>
      </c>
      <c r="P63" s="3">
        <f t="shared" si="57"/>
        <v>0</v>
      </c>
      <c r="Q63" s="8">
        <f t="shared" si="12"/>
        <v>0</v>
      </c>
      <c r="R63" s="16">
        <f t="shared" si="13"/>
        <v>0</v>
      </c>
      <c r="S63" s="8">
        <f t="shared" si="14"/>
        <v>0</v>
      </c>
      <c r="T63" s="8">
        <f t="shared" si="58"/>
        <v>125.26</v>
      </c>
      <c r="U63" s="5" t="b">
        <f t="shared" si="16"/>
        <v>1</v>
      </c>
      <c r="V63" s="8">
        <f t="shared" si="59"/>
        <v>0</v>
      </c>
      <c r="W63" s="8">
        <f t="shared" si="60"/>
        <v>0</v>
      </c>
      <c r="X63" s="5" t="b">
        <f t="shared" si="19"/>
        <v>0</v>
      </c>
      <c r="Y63" s="8">
        <f t="shared" si="61"/>
        <v>0</v>
      </c>
      <c r="Z63" s="8">
        <f t="shared" si="62"/>
        <v>0</v>
      </c>
      <c r="AA63" s="5" t="b">
        <f t="shared" si="22"/>
        <v>0</v>
      </c>
      <c r="AB63" s="8">
        <f t="shared" si="63"/>
        <v>0</v>
      </c>
      <c r="AC63" s="8">
        <f t="shared" si="64"/>
        <v>0</v>
      </c>
      <c r="AD63" s="5" t="b">
        <f t="shared" si="65"/>
        <v>0</v>
      </c>
      <c r="AE63" s="8">
        <f t="shared" si="66"/>
        <v>0</v>
      </c>
      <c r="AF63" s="8">
        <f t="shared" si="67"/>
        <v>0</v>
      </c>
      <c r="AG63" s="5" t="b">
        <f t="shared" si="28"/>
        <v>0</v>
      </c>
      <c r="AH63" s="8">
        <f t="shared" si="68"/>
        <v>0</v>
      </c>
      <c r="AI63" s="8">
        <f t="shared" si="69"/>
        <v>0</v>
      </c>
      <c r="AJ63" s="24">
        <f t="shared" si="70"/>
        <v>0</v>
      </c>
      <c r="AK63" s="8">
        <f t="shared" si="32"/>
        <v>125.26</v>
      </c>
      <c r="AL63" s="8">
        <f t="shared" si="33"/>
        <v>0</v>
      </c>
      <c r="AM63" s="183" t="b">
        <f t="shared" si="34"/>
        <v>1</v>
      </c>
      <c r="AN63" s="8">
        <f t="shared" si="35"/>
        <v>0</v>
      </c>
      <c r="AO63" s="54">
        <f t="shared" si="36"/>
        <v>3469.9999999999995</v>
      </c>
      <c r="AP63" s="8">
        <f t="shared" si="37"/>
        <v>0</v>
      </c>
      <c r="AQ63" s="8">
        <f t="shared" si="78"/>
        <v>125.26</v>
      </c>
      <c r="AR63" s="106">
        <f t="shared" si="71"/>
        <v>0</v>
      </c>
      <c r="AS63" s="106">
        <f t="shared" si="72"/>
        <v>0</v>
      </c>
      <c r="AT63" s="106">
        <f t="shared" si="73"/>
        <v>0</v>
      </c>
      <c r="AU63" s="106">
        <f t="shared" si="74"/>
        <v>0</v>
      </c>
      <c r="AV63" s="106">
        <f t="shared" si="75"/>
        <v>0</v>
      </c>
      <c r="AW63" t="b">
        <f t="shared" si="76"/>
        <v>1</v>
      </c>
      <c r="AX63" t="b">
        <f t="shared" si="77"/>
        <v>1</v>
      </c>
    </row>
    <row r="64" spans="1:50" x14ac:dyDescent="0.25">
      <c r="A64" s="1">
        <v>62</v>
      </c>
      <c r="B64" s="10">
        <v>40696</v>
      </c>
      <c r="C64" s="5">
        <v>6</v>
      </c>
      <c r="D64" s="13">
        <v>32</v>
      </c>
      <c r="E64" s="57" t="str">
        <f t="shared" si="46"/>
        <v>METFORMIN HCL 850 MG TABLET</v>
      </c>
      <c r="F64" t="str">
        <f t="shared" si="47"/>
        <v>Prescription Drugs: Generic</v>
      </c>
      <c r="G64" t="str">
        <f t="shared" si="48"/>
        <v>Rx Deductible+Co-pay</v>
      </c>
      <c r="H64" s="109">
        <f t="shared" si="49"/>
        <v>9.19</v>
      </c>
      <c r="I64" s="109">
        <f t="shared" si="50"/>
        <v>0</v>
      </c>
      <c r="J64" s="109">
        <f t="shared" si="51"/>
        <v>9.19</v>
      </c>
      <c r="K64" s="5" t="str">
        <f t="shared" si="52"/>
        <v>None</v>
      </c>
      <c r="L64">
        <f t="shared" si="53"/>
        <v>0</v>
      </c>
      <c r="M64" s="3">
        <f t="shared" si="54"/>
        <v>0</v>
      </c>
      <c r="N64" s="5" t="str">
        <f t="shared" si="55"/>
        <v>None</v>
      </c>
      <c r="O64">
        <f t="shared" si="56"/>
        <v>5</v>
      </c>
      <c r="P64" s="3">
        <f t="shared" si="57"/>
        <v>0</v>
      </c>
      <c r="Q64" s="8">
        <f t="shared" si="12"/>
        <v>10</v>
      </c>
      <c r="R64" s="16">
        <f t="shared" si="13"/>
        <v>0</v>
      </c>
      <c r="S64" s="8">
        <f t="shared" si="14"/>
        <v>0</v>
      </c>
      <c r="T64" s="8">
        <f t="shared" si="58"/>
        <v>0</v>
      </c>
      <c r="U64" s="5" t="b">
        <f t="shared" si="16"/>
        <v>0</v>
      </c>
      <c r="V64" s="8">
        <f t="shared" si="59"/>
        <v>0</v>
      </c>
      <c r="W64" s="8">
        <f t="shared" si="60"/>
        <v>0</v>
      </c>
      <c r="X64" s="5" t="b">
        <f t="shared" si="19"/>
        <v>1</v>
      </c>
      <c r="Y64" s="8">
        <f t="shared" si="61"/>
        <v>0</v>
      </c>
      <c r="Z64" s="8">
        <f t="shared" si="62"/>
        <v>0</v>
      </c>
      <c r="AA64" s="5" t="b">
        <f t="shared" si="22"/>
        <v>0</v>
      </c>
      <c r="AB64" s="8">
        <f t="shared" si="63"/>
        <v>0</v>
      </c>
      <c r="AC64" s="8">
        <f t="shared" si="64"/>
        <v>0</v>
      </c>
      <c r="AD64" s="5" t="b">
        <f t="shared" si="65"/>
        <v>0</v>
      </c>
      <c r="AE64" s="8">
        <f t="shared" si="66"/>
        <v>0</v>
      </c>
      <c r="AF64" s="8">
        <f t="shared" si="67"/>
        <v>0</v>
      </c>
      <c r="AG64" s="5" t="b">
        <f t="shared" si="28"/>
        <v>0</v>
      </c>
      <c r="AH64" s="8">
        <f t="shared" si="68"/>
        <v>0</v>
      </c>
      <c r="AI64" s="8">
        <f t="shared" si="69"/>
        <v>0</v>
      </c>
      <c r="AJ64" s="24">
        <f t="shared" si="70"/>
        <v>0</v>
      </c>
      <c r="AK64" s="8">
        <f t="shared" si="32"/>
        <v>9.19</v>
      </c>
      <c r="AL64" s="8">
        <f t="shared" si="33"/>
        <v>10</v>
      </c>
      <c r="AM64" s="183" t="b">
        <f t="shared" si="34"/>
        <v>1</v>
      </c>
      <c r="AN64" s="8">
        <f t="shared" si="35"/>
        <v>10</v>
      </c>
      <c r="AO64" s="54">
        <f t="shared" si="36"/>
        <v>3469.9999999999995</v>
      </c>
      <c r="AP64" s="8">
        <f t="shared" si="37"/>
        <v>10</v>
      </c>
      <c r="AQ64" s="8">
        <f t="shared" si="78"/>
        <v>0</v>
      </c>
      <c r="AR64" s="106">
        <f t="shared" si="71"/>
        <v>0</v>
      </c>
      <c r="AS64" s="106">
        <f t="shared" si="72"/>
        <v>0</v>
      </c>
      <c r="AT64" s="106">
        <f t="shared" si="73"/>
        <v>10</v>
      </c>
      <c r="AU64" s="106">
        <f t="shared" si="74"/>
        <v>0</v>
      </c>
      <c r="AV64" s="106">
        <f t="shared" si="75"/>
        <v>0</v>
      </c>
      <c r="AW64" t="b">
        <f t="shared" si="76"/>
        <v>1</v>
      </c>
      <c r="AX64" t="b">
        <f t="shared" si="77"/>
        <v>0</v>
      </c>
    </row>
    <row r="65" spans="1:50" x14ac:dyDescent="0.25">
      <c r="A65" s="1">
        <v>63</v>
      </c>
      <c r="B65" s="10">
        <v>40696</v>
      </c>
      <c r="C65" s="5">
        <v>6</v>
      </c>
      <c r="D65" s="13">
        <v>19</v>
      </c>
      <c r="E65" s="57" t="str">
        <f t="shared" si="46"/>
        <v>Ramipril 10mg (Rx) [1 QD; #30 pills/month]</v>
      </c>
      <c r="F65" t="str">
        <f t="shared" si="47"/>
        <v>Prescription Drugs: Generic</v>
      </c>
      <c r="G65" t="str">
        <f t="shared" si="48"/>
        <v>Rx Deductible+Co-pay</v>
      </c>
      <c r="H65" s="109">
        <f t="shared" si="49"/>
        <v>15.92</v>
      </c>
      <c r="I65" s="109">
        <f t="shared" si="50"/>
        <v>0</v>
      </c>
      <c r="J65" s="109">
        <f t="shared" si="51"/>
        <v>15.92</v>
      </c>
      <c r="K65" s="5" t="str">
        <f t="shared" si="52"/>
        <v>None</v>
      </c>
      <c r="L65">
        <f t="shared" si="53"/>
        <v>0</v>
      </c>
      <c r="M65" s="3">
        <f t="shared" si="54"/>
        <v>0</v>
      </c>
      <c r="N65" s="5" t="str">
        <f t="shared" si="55"/>
        <v>None</v>
      </c>
      <c r="O65">
        <f t="shared" si="56"/>
        <v>5</v>
      </c>
      <c r="P65" s="3">
        <f t="shared" si="57"/>
        <v>0</v>
      </c>
      <c r="Q65" s="8">
        <f t="shared" si="12"/>
        <v>10</v>
      </c>
      <c r="R65" s="16">
        <f t="shared" si="13"/>
        <v>0</v>
      </c>
      <c r="S65" s="8">
        <f t="shared" si="14"/>
        <v>0</v>
      </c>
      <c r="T65" s="8">
        <f t="shared" si="58"/>
        <v>5.92</v>
      </c>
      <c r="U65" s="5" t="b">
        <f t="shared" si="16"/>
        <v>0</v>
      </c>
      <c r="V65" s="8">
        <f t="shared" si="59"/>
        <v>0</v>
      </c>
      <c r="W65" s="8">
        <f t="shared" si="60"/>
        <v>0</v>
      </c>
      <c r="X65" s="5" t="b">
        <f t="shared" si="19"/>
        <v>1</v>
      </c>
      <c r="Y65" s="8">
        <f t="shared" si="61"/>
        <v>0</v>
      </c>
      <c r="Z65" s="8">
        <f t="shared" si="62"/>
        <v>0</v>
      </c>
      <c r="AA65" s="5" t="b">
        <f t="shared" si="22"/>
        <v>0</v>
      </c>
      <c r="AB65" s="8">
        <f t="shared" si="63"/>
        <v>0</v>
      </c>
      <c r="AC65" s="8">
        <f t="shared" si="64"/>
        <v>0</v>
      </c>
      <c r="AD65" s="5" t="b">
        <f t="shared" si="65"/>
        <v>0</v>
      </c>
      <c r="AE65" s="8">
        <f t="shared" si="66"/>
        <v>0</v>
      </c>
      <c r="AF65" s="8">
        <f t="shared" si="67"/>
        <v>0</v>
      </c>
      <c r="AG65" s="5" t="b">
        <f t="shared" si="28"/>
        <v>0</v>
      </c>
      <c r="AH65" s="8">
        <f t="shared" si="68"/>
        <v>0</v>
      </c>
      <c r="AI65" s="8">
        <f t="shared" si="69"/>
        <v>0</v>
      </c>
      <c r="AJ65" s="24">
        <f t="shared" si="70"/>
        <v>0</v>
      </c>
      <c r="AK65" s="8">
        <f t="shared" si="32"/>
        <v>15.92</v>
      </c>
      <c r="AL65" s="8">
        <f t="shared" si="33"/>
        <v>10</v>
      </c>
      <c r="AM65" s="183" t="b">
        <f t="shared" si="34"/>
        <v>1</v>
      </c>
      <c r="AN65" s="8">
        <f t="shared" si="35"/>
        <v>10</v>
      </c>
      <c r="AO65" s="54">
        <f t="shared" si="36"/>
        <v>3459.9999999999995</v>
      </c>
      <c r="AP65" s="8">
        <f t="shared" si="37"/>
        <v>10</v>
      </c>
      <c r="AQ65" s="8">
        <f t="shared" si="78"/>
        <v>5.92</v>
      </c>
      <c r="AR65" s="106">
        <f t="shared" si="71"/>
        <v>0</v>
      </c>
      <c r="AS65" s="106">
        <f t="shared" si="72"/>
        <v>0</v>
      </c>
      <c r="AT65" s="106">
        <f t="shared" si="73"/>
        <v>10</v>
      </c>
      <c r="AU65" s="106">
        <f t="shared" si="74"/>
        <v>0</v>
      </c>
      <c r="AV65" s="106">
        <f t="shared" si="75"/>
        <v>0</v>
      </c>
      <c r="AW65" t="b">
        <f t="shared" si="76"/>
        <v>1</v>
      </c>
      <c r="AX65" t="b">
        <f t="shared" si="77"/>
        <v>1</v>
      </c>
    </row>
    <row r="66" spans="1:50" x14ac:dyDescent="0.25">
      <c r="A66" s="1">
        <v>64</v>
      </c>
      <c r="B66" s="10">
        <v>40714</v>
      </c>
      <c r="C66" s="5">
        <v>6</v>
      </c>
      <c r="D66" s="13">
        <v>26</v>
      </c>
      <c r="E66" s="57" t="str">
        <f t="shared" si="46"/>
        <v>Aspirin 81mg (OTC - bottle 100) [usage = 1 QD; #30 pills per month]</v>
      </c>
      <c r="F66" t="str">
        <f t="shared" si="47"/>
        <v>Over-the-counter Drugs</v>
      </c>
      <c r="G66" t="str">
        <f t="shared" si="48"/>
        <v>Not Covered</v>
      </c>
      <c r="H66" s="109">
        <f t="shared" si="49"/>
        <v>4.2725</v>
      </c>
      <c r="I66" s="109">
        <f t="shared" si="50"/>
        <v>4.2725</v>
      </c>
      <c r="J66" s="109">
        <f t="shared" si="51"/>
        <v>0</v>
      </c>
      <c r="K66" s="5" t="str">
        <f t="shared" si="52"/>
        <v>None</v>
      </c>
      <c r="L66">
        <f t="shared" si="53"/>
        <v>0</v>
      </c>
      <c r="M66" s="3">
        <f t="shared" si="54"/>
        <v>0</v>
      </c>
      <c r="N66" s="5" t="str">
        <f t="shared" si="55"/>
        <v>None</v>
      </c>
      <c r="O66">
        <f t="shared" si="56"/>
        <v>2</v>
      </c>
      <c r="P66" s="3">
        <f t="shared" si="57"/>
        <v>0</v>
      </c>
      <c r="Q66" s="8">
        <f t="shared" si="12"/>
        <v>0</v>
      </c>
      <c r="R66" s="16">
        <f t="shared" si="13"/>
        <v>0</v>
      </c>
      <c r="S66" s="8">
        <f t="shared" si="14"/>
        <v>0</v>
      </c>
      <c r="T66" s="8">
        <f t="shared" si="58"/>
        <v>0</v>
      </c>
      <c r="U66" s="5" t="b">
        <f t="shared" si="16"/>
        <v>0</v>
      </c>
      <c r="V66" s="8">
        <f t="shared" si="59"/>
        <v>0</v>
      </c>
      <c r="W66" s="8">
        <f t="shared" si="60"/>
        <v>0</v>
      </c>
      <c r="X66" s="5" t="b">
        <f t="shared" si="19"/>
        <v>0</v>
      </c>
      <c r="Y66" s="8">
        <f t="shared" si="61"/>
        <v>0</v>
      </c>
      <c r="Z66" s="8">
        <f t="shared" si="62"/>
        <v>0</v>
      </c>
      <c r="AA66" s="5" t="b">
        <f t="shared" si="22"/>
        <v>0</v>
      </c>
      <c r="AB66" s="8">
        <f t="shared" si="63"/>
        <v>0</v>
      </c>
      <c r="AC66" s="8">
        <f t="shared" si="64"/>
        <v>0</v>
      </c>
      <c r="AD66" s="5" t="b">
        <f t="shared" si="65"/>
        <v>0</v>
      </c>
      <c r="AE66" s="8">
        <f t="shared" si="66"/>
        <v>0</v>
      </c>
      <c r="AF66" s="8">
        <f t="shared" si="67"/>
        <v>0</v>
      </c>
      <c r="AG66" s="5" t="b">
        <f t="shared" si="28"/>
        <v>0</v>
      </c>
      <c r="AH66" s="8">
        <f t="shared" si="68"/>
        <v>0</v>
      </c>
      <c r="AI66" s="8">
        <f t="shared" si="69"/>
        <v>0</v>
      </c>
      <c r="AJ66" s="24">
        <f t="shared" si="70"/>
        <v>0</v>
      </c>
      <c r="AK66" s="8">
        <f t="shared" si="32"/>
        <v>0</v>
      </c>
      <c r="AL66" s="8">
        <f t="shared" si="33"/>
        <v>0</v>
      </c>
      <c r="AM66" s="183" t="b">
        <f t="shared" si="34"/>
        <v>0</v>
      </c>
      <c r="AN66" s="8">
        <f t="shared" si="35"/>
        <v>0</v>
      </c>
      <c r="AO66" s="54">
        <f t="shared" si="36"/>
        <v>0</v>
      </c>
      <c r="AP66" s="8">
        <f t="shared" si="37"/>
        <v>0</v>
      </c>
      <c r="AQ66" s="8">
        <f t="shared" si="78"/>
        <v>0</v>
      </c>
      <c r="AR66" s="106">
        <f t="shared" si="71"/>
        <v>4.2725</v>
      </c>
      <c r="AS66" s="106">
        <f t="shared" si="72"/>
        <v>0</v>
      </c>
      <c r="AT66" s="106">
        <f t="shared" si="73"/>
        <v>0</v>
      </c>
      <c r="AU66" s="106">
        <f t="shared" si="74"/>
        <v>0</v>
      </c>
      <c r="AV66" s="106">
        <f t="shared" si="75"/>
        <v>0</v>
      </c>
      <c r="AW66" t="b">
        <f t="shared" si="76"/>
        <v>1</v>
      </c>
      <c r="AX66" t="b">
        <f t="shared" si="77"/>
        <v>1</v>
      </c>
    </row>
    <row r="67" spans="1:50" x14ac:dyDescent="0.25">
      <c r="A67" s="1">
        <v>65</v>
      </c>
      <c r="B67" s="10">
        <v>40714</v>
      </c>
      <c r="C67" s="5">
        <v>6</v>
      </c>
      <c r="D67" s="13">
        <v>17</v>
      </c>
      <c r="E67" s="57" t="str">
        <f t="shared" ref="E67:E98" si="79">VLOOKUP(ServiceCode,DiabetesFeeSchedule,6,FALSE)</f>
        <v>Insulin glargine 100 unit/ml injectable solution (Rx - 10ml vial)  [20 units QD; expires 28 days after first use]</v>
      </c>
      <c r="F67" t="str">
        <f t="shared" ref="F67:F98" si="80">VLOOKUP(ServiceCode,DiabetesFeeSchedule,5,FALSE)</f>
        <v>Prescription Drugs: Branded</v>
      </c>
      <c r="G67" t="str">
        <f t="shared" ref="G67:G98" si="81">VLOOKUP(BenefitCategory,BenefitDesignTable,COLUMN(BenefitCostSharing),FALSE)</f>
        <v>Rx Deductible+Co-pay</v>
      </c>
      <c r="H67" s="109">
        <f t="shared" ref="H67:H98" si="82">VLOOKUP(ServiceCode,DiabetesFeeSchedule,7,FALSE)</f>
        <v>275.51</v>
      </c>
      <c r="I67" s="109">
        <f t="shared" ref="I67:I98" si="83">IF(CostSharingType="Not Covered",AllowedAmt,0)</f>
        <v>0</v>
      </c>
      <c r="J67" s="109">
        <f t="shared" ref="J67:J98" si="84">IF((NotCoveredAmt+AmtExceedMonthLimit+AmtExceedAnnualLimit)&gt;0,0,AllowedAmt)</f>
        <v>275.51</v>
      </c>
      <c r="K67" s="5" t="str">
        <f t="shared" ref="K67:K98" si="85">VLOOKUP(BenefitCategory,BenefitDesignTable,COLUMN(BenefitLimithMonth),FALSE)</f>
        <v>None</v>
      </c>
      <c r="L67">
        <f t="shared" ref="L67:L98" si="86">COUNTIFS(ServiceCode,ServiceCode,ClaimMonth,ClaimMonth,ClaimNumber,"&lt;"&amp;ClaimNumber)</f>
        <v>0</v>
      </c>
      <c r="M67" s="3">
        <f t="shared" ref="M67:M98" si="87">IF(MonthLimit=0,0,IF(PriorUseMonth&gt;=MonthLimit,AllowedAmt,0))</f>
        <v>0</v>
      </c>
      <c r="N67" s="5" t="str">
        <f t="shared" ref="N67:N98" si="88">VLOOKUP(BenefitCategory,BenefitDesignTable,COLUMN(BenefitLimitAnnual),FALSE)</f>
        <v>None</v>
      </c>
      <c r="O67">
        <f t="shared" ref="O67:O98" si="89">COUNTIFS(ServiceCode,ServiceCode,ClaimNumber,"&lt;"&amp;ClaimNumber)</f>
        <v>6</v>
      </c>
      <c r="P67" s="3">
        <f t="shared" ref="P67:P98" si="90">IF(AnnualLimit=0,0,IF(PriorUseAnnual&gt;=AnnualLimit,AllowedAmt,0))</f>
        <v>0</v>
      </c>
      <c r="Q67" s="8">
        <f t="shared" ref="Q67:Q128" si="91">IF(AmtExceedMonthLimit=0,IF(AmtExceedAnnualLimit=0,VLOOKUP(BenefitCategory,BenefitDesignTable,COLUMN(BenefitCopay),FALSE),0))</f>
        <v>30</v>
      </c>
      <c r="R67" s="16">
        <f t="shared" ref="R67:R128" si="92">VLOOKUP(BenefitCategory,BenefitDesignTable,COLUMN(BenefitCoins),FALSE)</f>
        <v>0</v>
      </c>
      <c r="S67" s="8">
        <f t="shared" ref="S67:S128" si="93">IF(AmtExceedMonthLimit=0,IF(AmtExceedAnnualLimit=0,CoInsRate*CoveredAmt,0))</f>
        <v>0</v>
      </c>
      <c r="T67" s="8">
        <f t="shared" ref="T67:T98" si="94">IF((CoveredAmt-CoPayAmount-CoInsAmount)&lt;0,0,CoveredAmt-CoPayAmount-CoInsAmount)</f>
        <v>245.51</v>
      </c>
      <c r="U67" s="5" t="b">
        <f t="shared" ref="U67:U128" si="95">VLOOKUP(BenefitCategory,BenefitDesignTable,COLUMN(PlanDeductible),FALSE)&gt;0</f>
        <v>0</v>
      </c>
      <c r="V67" s="8">
        <f t="shared" ref="V67:V98" si="96">MAX(0,VLOOKUP(BenefitCategory,BenefitDesignTable,COLUMN(PlanDeductible),FALSE)-SUMIFS(AllowedAmtAfterCopayCoins,PlanDeductibleApplies,TRUE,ClaimNumber,"&lt;"&amp;ClaimNumber))</f>
        <v>0</v>
      </c>
      <c r="W67" s="8">
        <f t="shared" ref="W67:W98" si="97">IF(AllowedAmtAfterCopayCoins&lt;RemainingPlanDeduc,AllowedAmtAfterCopayCoins,RemainingPlanDeduc)</f>
        <v>0</v>
      </c>
      <c r="X67" s="5" t="b">
        <f t="shared" ref="X67:X128" si="98">VLOOKUP(BenefitCategory,BenefitDesignTable,COLUMN(RxDeductible),FALSE)&gt;0</f>
        <v>1</v>
      </c>
      <c r="Y67" s="8">
        <f t="shared" ref="Y67:Y98" si="99">MAX(0,VLOOKUP(BenefitCategory,BenefitDesignTable,COLUMN(RxDeductible),FALSE)-SUMIFS(AllowedAmtAfterCopayCoins,RxDeductibleApplies,TRUE,ClaimNumber,"&lt;"&amp;ClaimNumber))</f>
        <v>0</v>
      </c>
      <c r="Z67" s="8">
        <f t="shared" ref="Z67:Z98" si="100">IF(AllowedAmtAfterCopayCoins&lt;RemainingRxDeduc,AllowedAmtAfterCopayCoins,RemainingRxDeduc)</f>
        <v>0</v>
      </c>
      <c r="AA67" s="5" t="b">
        <f t="shared" ref="AA67:AA128" si="101">VLOOKUP(BenefitCategory,BenefitDesignTable,COLUMN(OptDeductibleC),FALSE)&gt;0</f>
        <v>0</v>
      </c>
      <c r="AB67" s="8">
        <f t="shared" ref="AB67:AB98" si="102">MAX(0,VLOOKUP(BenefitCategory,BenefitDesignTable,COLUMN(OptDeductibleC),FALSE)-SUMIFS(AllowedAmtAfterCopayCoins,DeductibleCApplies,TRUE,ClaimNumber,"&lt;"&amp;ClaimNumber))</f>
        <v>0</v>
      </c>
      <c r="AC67" s="8">
        <f t="shared" ref="AC67:AC98" si="103">IF(AllowedAmtAfterCopayCoins&lt;RemainingDeductibleC,AllowedAmtAfterCopayCoins,RemainingDeductibleC)</f>
        <v>0</v>
      </c>
      <c r="AD67" s="5" t="b">
        <f t="shared" ref="AD67:AD98" si="104">VLOOKUP(BenefitCategory,BenefitDesignTable,COLUMN(OptDeductibleD),FALSE)&gt;0</f>
        <v>0</v>
      </c>
      <c r="AE67" s="8">
        <f t="shared" ref="AE67:AE98" si="105">MAX(0,VLOOKUP(BenefitCategory,BenefitDesignTable,COLUMN(OptDeductibleD),FALSE)-SUMIFS(AllowedAmtAfterCopayCoins,DeductibleDApplies,TRUE,ClaimNumber,"&lt;"&amp;ClaimNumber))</f>
        <v>0</v>
      </c>
      <c r="AF67" s="8">
        <f t="shared" ref="AF67:AF98" si="106">IF(AllowedAmtAfterCopayCoins&lt;RemainingDeductibleD,AllowedAmtAfterCopayCoins,RemainingDeductibleD)</f>
        <v>0</v>
      </c>
      <c r="AG67" s="5" t="b">
        <f t="shared" ref="AG67:AG128" si="107">VLOOKUP(BenefitCategory,BenefitDesignTable,COLUMN(BenefitDeductible),FALSE)&gt;0</f>
        <v>0</v>
      </c>
      <c r="AH67" s="8">
        <f t="shared" ref="AH67:AH98" si="108">MAX(0,VLOOKUP(BenefitCategory,BenefitDesignTable,COLUMN(BenefitDeductible),FALSE)-SUMIFS(AllowedAmtAfterCopayCoins,BenefitCategory,BenefitCategory,ClaimNumber,"&lt;"&amp;ClaimNumber))</f>
        <v>0</v>
      </c>
      <c r="AI67" s="8">
        <f t="shared" ref="AI67:AI98" si="109">IF(AllowedAmtAfterCopayCoins&lt;RemainingBenefitDeduc,AllowedAmtAfterCopayCoins,RemainingBenefitDeduc)</f>
        <v>0</v>
      </c>
      <c r="AJ67" s="24">
        <f t="shared" ref="AJ67:AJ98" si="110">PlanDeductiblePayment+RxDeductiblePayment+DeductibleCPayment+DeductibleDPayment+BenefitDeductiblePayment</f>
        <v>0</v>
      </c>
      <c r="AK67" s="8">
        <f t="shared" ref="AK67:AK128" si="111">MAX(0,CoveredAmt-PaymentTowardDeductibles)</f>
        <v>275.51</v>
      </c>
      <c r="AL67" s="8">
        <f t="shared" ref="AL67:AL128" si="112">PaymentTowardDeductibles+CoPayAmount+CoInsAmount</f>
        <v>30</v>
      </c>
      <c r="AM67" s="183" t="b">
        <f t="shared" ref="AM67:AM128" si="113">VLOOKUP(BenefitCategory,BenefitDesignTable,COLUMN(BenefitOOPLimitApplies),FALSE)="Yes"</f>
        <v>1</v>
      </c>
      <c r="AN67" s="8">
        <f t="shared" ref="AN67:AN128" si="114">IF(OPLApplies,SubscriberPaymentBeforeOPL,0)</f>
        <v>30</v>
      </c>
      <c r="AO67" s="54">
        <f t="shared" ref="AO67:AO128" si="115">MAX(0,VLOOKUP(BenefitCategory,BenefitDesignTable,COLUMN(OPLimit),FALSE)-SUMIFS(AmountSubjectToOPL,OPLApplies,TRUE,ClaimNumber,"&lt;"&amp;ClaimNumber))</f>
        <v>3449.9999999999995</v>
      </c>
      <c r="AP67" s="8">
        <f t="shared" ref="AP67:AP128" si="116">IF(OPLApplies,IF(SubscriberPaymentBeforeOPL&lt;AmountSubjectToOPL,SubscriberPaymentBeforeOPL,AmountSubjectToOPL),SubscriberPaymentBeforeOPL)</f>
        <v>30</v>
      </c>
      <c r="AQ67" s="8">
        <f t="shared" si="78"/>
        <v>245.51</v>
      </c>
      <c r="AR67" s="106">
        <f t="shared" ref="AR67:AR98" si="117">NotCoveredAmt</f>
        <v>0</v>
      </c>
      <c r="AS67" s="106">
        <f t="shared" ref="AS67:AS98" si="118">AmtExceedMonthLimit+AmtExceedAnnualLimit</f>
        <v>0</v>
      </c>
      <c r="AT67" s="106">
        <f t="shared" ref="AT67:AT98" si="119">IF(CoPayAmount&lt;SubscriberPaymentAfterOPL,CoPayAmount,SubscriberPaymentAfterOPL)</f>
        <v>30</v>
      </c>
      <c r="AU67" s="106">
        <f t="shared" ref="AU67:AU98" si="120">IF(CoInsAmount&lt;SubscriberPaymentAfterOPL,CoInsAmount,SubscriberPaymentAfterOPL)</f>
        <v>0</v>
      </c>
      <c r="AV67" s="106">
        <f t="shared" ref="AV67:AV98" si="121">IF(PaymentTowardDeductibles&lt;(SubscriberPaymentAfterOPL-CoPayAmount-CoInsAmount),(SubscriberPaymentAfterOPL-CoPayAmount-CoInsAmount),PaymentTowardDeductibles)</f>
        <v>0</v>
      </c>
      <c r="AW67" t="b">
        <f t="shared" ref="AW67:AW98" si="122">SUM(AS67:AV67)=AP67</f>
        <v>1</v>
      </c>
      <c r="AX67" t="b">
        <f t="shared" ref="AX67:AX98" si="123">SUM(AQ67:AV67)=H67</f>
        <v>1</v>
      </c>
    </row>
    <row r="68" spans="1:50" x14ac:dyDescent="0.25">
      <c r="A68" s="1">
        <v>66</v>
      </c>
      <c r="B68" s="10">
        <v>40721</v>
      </c>
      <c r="C68" s="5">
        <v>6</v>
      </c>
      <c r="D68" s="13">
        <v>15</v>
      </c>
      <c r="E68" s="57" t="str">
        <f t="shared" si="79"/>
        <v>Assay Glucose Blood Quant</v>
      </c>
      <c r="F68" t="str">
        <f t="shared" si="80"/>
        <v>Diagnostic Services: Laboratory</v>
      </c>
      <c r="G68" t="str">
        <f t="shared" si="81"/>
        <v>Plan Deductible Only</v>
      </c>
      <c r="H68" s="109">
        <f t="shared" si="82"/>
        <v>5.73</v>
      </c>
      <c r="I68" s="109">
        <f t="shared" si="83"/>
        <v>0</v>
      </c>
      <c r="J68" s="109">
        <f t="shared" si="84"/>
        <v>5.73</v>
      </c>
      <c r="K68" s="5" t="str">
        <f t="shared" si="85"/>
        <v>None</v>
      </c>
      <c r="L68">
        <f t="shared" si="86"/>
        <v>0</v>
      </c>
      <c r="M68" s="3">
        <f t="shared" si="87"/>
        <v>0</v>
      </c>
      <c r="N68" s="5" t="str">
        <f t="shared" si="88"/>
        <v>None</v>
      </c>
      <c r="O68">
        <f t="shared" si="89"/>
        <v>1</v>
      </c>
      <c r="P68" s="3">
        <f t="shared" si="90"/>
        <v>0</v>
      </c>
      <c r="Q68" s="8">
        <f t="shared" si="91"/>
        <v>0</v>
      </c>
      <c r="R68" s="16">
        <f t="shared" si="92"/>
        <v>0</v>
      </c>
      <c r="S68" s="8">
        <f t="shared" si="93"/>
        <v>0</v>
      </c>
      <c r="T68" s="8">
        <f t="shared" si="94"/>
        <v>5.73</v>
      </c>
      <c r="U68" s="5" t="b">
        <f t="shared" si="95"/>
        <v>1</v>
      </c>
      <c r="V68" s="8">
        <f t="shared" si="96"/>
        <v>0</v>
      </c>
      <c r="W68" s="8">
        <f t="shared" si="97"/>
        <v>0</v>
      </c>
      <c r="X68" s="5" t="b">
        <f t="shared" si="98"/>
        <v>0</v>
      </c>
      <c r="Y68" s="8">
        <f t="shared" si="99"/>
        <v>0</v>
      </c>
      <c r="Z68" s="8">
        <f t="shared" si="100"/>
        <v>0</v>
      </c>
      <c r="AA68" s="5" t="b">
        <f t="shared" si="101"/>
        <v>0</v>
      </c>
      <c r="AB68" s="8">
        <f t="shared" si="102"/>
        <v>0</v>
      </c>
      <c r="AC68" s="8">
        <f t="shared" si="103"/>
        <v>0</v>
      </c>
      <c r="AD68" s="5" t="b">
        <f t="shared" si="104"/>
        <v>0</v>
      </c>
      <c r="AE68" s="8">
        <f t="shared" si="105"/>
        <v>0</v>
      </c>
      <c r="AF68" s="8">
        <f t="shared" si="106"/>
        <v>0</v>
      </c>
      <c r="AG68" s="5" t="b">
        <f t="shared" si="107"/>
        <v>0</v>
      </c>
      <c r="AH68" s="8">
        <f t="shared" si="108"/>
        <v>0</v>
      </c>
      <c r="AI68" s="8">
        <f t="shared" si="109"/>
        <v>0</v>
      </c>
      <c r="AJ68" s="24">
        <f t="shared" si="110"/>
        <v>0</v>
      </c>
      <c r="AK68" s="8">
        <f t="shared" si="111"/>
        <v>5.73</v>
      </c>
      <c r="AL68" s="8">
        <f t="shared" si="112"/>
        <v>0</v>
      </c>
      <c r="AM68" s="183" t="b">
        <f t="shared" si="113"/>
        <v>1</v>
      </c>
      <c r="AN68" s="8">
        <f t="shared" si="114"/>
        <v>0</v>
      </c>
      <c r="AO68" s="54">
        <f t="shared" si="115"/>
        <v>3419.9999999999995</v>
      </c>
      <c r="AP68" s="8">
        <f t="shared" si="116"/>
        <v>0</v>
      </c>
      <c r="AQ68" s="8">
        <f t="shared" ref="AQ68:AQ99" si="124">IF(CoveredAmt&lt;SubscriberPaymentAfterOPL,0,CoveredAmt-SubscriberPaymentAfterOPL)</f>
        <v>5.73</v>
      </c>
      <c r="AR68" s="106">
        <f t="shared" si="117"/>
        <v>0</v>
      </c>
      <c r="AS68" s="106">
        <f t="shared" si="118"/>
        <v>0</v>
      </c>
      <c r="AT68" s="106">
        <f t="shared" si="119"/>
        <v>0</v>
      </c>
      <c r="AU68" s="106">
        <f t="shared" si="120"/>
        <v>0</v>
      </c>
      <c r="AV68" s="106">
        <f t="shared" si="121"/>
        <v>0</v>
      </c>
      <c r="AW68" t="b">
        <f t="shared" si="122"/>
        <v>1</v>
      </c>
      <c r="AX68" t="b">
        <f t="shared" si="123"/>
        <v>1</v>
      </c>
    </row>
    <row r="69" spans="1:50" x14ac:dyDescent="0.25">
      <c r="A69" s="1">
        <v>67</v>
      </c>
      <c r="B69" s="10">
        <v>40721</v>
      </c>
      <c r="C69" s="5">
        <v>6</v>
      </c>
      <c r="D69" s="13">
        <v>16</v>
      </c>
      <c r="E69" s="57" t="str">
        <f t="shared" si="79"/>
        <v>Glycosylated Hemoglobin Test</v>
      </c>
      <c r="F69" t="str">
        <f t="shared" si="80"/>
        <v>Diagnostic Services: Laboratory</v>
      </c>
      <c r="G69" t="str">
        <f t="shared" si="81"/>
        <v>Plan Deductible Only</v>
      </c>
      <c r="H69" s="109">
        <f t="shared" si="82"/>
        <v>10.85</v>
      </c>
      <c r="I69" s="109">
        <f t="shared" si="83"/>
        <v>0</v>
      </c>
      <c r="J69" s="109">
        <f t="shared" si="84"/>
        <v>10.85</v>
      </c>
      <c r="K69" s="5" t="str">
        <f t="shared" si="85"/>
        <v>None</v>
      </c>
      <c r="L69">
        <f t="shared" si="86"/>
        <v>0</v>
      </c>
      <c r="M69" s="3">
        <f t="shared" si="87"/>
        <v>0</v>
      </c>
      <c r="N69" s="5" t="str">
        <f t="shared" si="88"/>
        <v>None</v>
      </c>
      <c r="O69">
        <f t="shared" si="89"/>
        <v>2</v>
      </c>
      <c r="P69" s="3">
        <f t="shared" si="90"/>
        <v>0</v>
      </c>
      <c r="Q69" s="8">
        <f t="shared" si="91"/>
        <v>0</v>
      </c>
      <c r="R69" s="16">
        <f t="shared" si="92"/>
        <v>0</v>
      </c>
      <c r="S69" s="8">
        <f t="shared" si="93"/>
        <v>0</v>
      </c>
      <c r="T69" s="8">
        <f t="shared" si="94"/>
        <v>10.85</v>
      </c>
      <c r="U69" s="5" t="b">
        <f t="shared" si="95"/>
        <v>1</v>
      </c>
      <c r="V69" s="8">
        <f t="shared" si="96"/>
        <v>0</v>
      </c>
      <c r="W69" s="8">
        <f t="shared" si="97"/>
        <v>0</v>
      </c>
      <c r="X69" s="5" t="b">
        <f t="shared" si="98"/>
        <v>0</v>
      </c>
      <c r="Y69" s="8">
        <f t="shared" si="99"/>
        <v>0</v>
      </c>
      <c r="Z69" s="8">
        <f t="shared" si="100"/>
        <v>0</v>
      </c>
      <c r="AA69" s="5" t="b">
        <f t="shared" si="101"/>
        <v>0</v>
      </c>
      <c r="AB69" s="8">
        <f t="shared" si="102"/>
        <v>0</v>
      </c>
      <c r="AC69" s="8">
        <f t="shared" si="103"/>
        <v>0</v>
      </c>
      <c r="AD69" s="5" t="b">
        <f t="shared" si="104"/>
        <v>0</v>
      </c>
      <c r="AE69" s="8">
        <f t="shared" si="105"/>
        <v>0</v>
      </c>
      <c r="AF69" s="8">
        <f t="shared" si="106"/>
        <v>0</v>
      </c>
      <c r="AG69" s="5" t="b">
        <f t="shared" si="107"/>
        <v>0</v>
      </c>
      <c r="AH69" s="8">
        <f t="shared" si="108"/>
        <v>0</v>
      </c>
      <c r="AI69" s="8">
        <f t="shared" si="109"/>
        <v>0</v>
      </c>
      <c r="AJ69" s="24">
        <f t="shared" si="110"/>
        <v>0</v>
      </c>
      <c r="AK69" s="8">
        <f t="shared" si="111"/>
        <v>10.85</v>
      </c>
      <c r="AL69" s="8">
        <f t="shared" si="112"/>
        <v>0</v>
      </c>
      <c r="AM69" s="183" t="b">
        <f t="shared" si="113"/>
        <v>1</v>
      </c>
      <c r="AN69" s="8">
        <f t="shared" si="114"/>
        <v>0</v>
      </c>
      <c r="AO69" s="54">
        <f t="shared" si="115"/>
        <v>3419.9999999999995</v>
      </c>
      <c r="AP69" s="8">
        <f t="shared" si="116"/>
        <v>0</v>
      </c>
      <c r="AQ69" s="8">
        <f t="shared" si="124"/>
        <v>10.85</v>
      </c>
      <c r="AR69" s="106">
        <f t="shared" si="117"/>
        <v>0</v>
      </c>
      <c r="AS69" s="106">
        <f t="shared" si="118"/>
        <v>0</v>
      </c>
      <c r="AT69" s="106">
        <f t="shared" si="119"/>
        <v>0</v>
      </c>
      <c r="AU69" s="106">
        <f t="shared" si="120"/>
        <v>0</v>
      </c>
      <c r="AV69" s="106">
        <f t="shared" si="121"/>
        <v>0</v>
      </c>
      <c r="AW69" t="b">
        <f t="shared" si="122"/>
        <v>1</v>
      </c>
      <c r="AX69" t="b">
        <f t="shared" si="123"/>
        <v>1</v>
      </c>
    </row>
    <row r="70" spans="1:50" x14ac:dyDescent="0.25">
      <c r="A70" s="1">
        <v>68</v>
      </c>
      <c r="B70" s="10">
        <v>40721</v>
      </c>
      <c r="C70" s="5">
        <v>6</v>
      </c>
      <c r="D70" s="13">
        <v>10</v>
      </c>
      <c r="E70" s="57" t="str">
        <f t="shared" si="79"/>
        <v>Renal Function Panel</v>
      </c>
      <c r="F70" t="str">
        <f t="shared" si="80"/>
        <v>Diagnostic Services: Laboratory</v>
      </c>
      <c r="G70" t="str">
        <f t="shared" si="81"/>
        <v>Plan Deductible Only</v>
      </c>
      <c r="H70" s="109">
        <f t="shared" si="82"/>
        <v>11.63</v>
      </c>
      <c r="I70" s="109">
        <f t="shared" si="83"/>
        <v>0</v>
      </c>
      <c r="J70" s="109">
        <f t="shared" si="84"/>
        <v>11.63</v>
      </c>
      <c r="K70" s="5" t="str">
        <f t="shared" si="85"/>
        <v>None</v>
      </c>
      <c r="L70">
        <f t="shared" si="86"/>
        <v>0</v>
      </c>
      <c r="M70" s="3">
        <f t="shared" si="87"/>
        <v>0</v>
      </c>
      <c r="N70" s="5" t="str">
        <f t="shared" si="88"/>
        <v>None</v>
      </c>
      <c r="O70">
        <f t="shared" si="89"/>
        <v>1</v>
      </c>
      <c r="P70" s="3">
        <f t="shared" si="90"/>
        <v>0</v>
      </c>
      <c r="Q70" s="8">
        <f t="shared" si="91"/>
        <v>0</v>
      </c>
      <c r="R70" s="16">
        <f t="shared" si="92"/>
        <v>0</v>
      </c>
      <c r="S70" s="8">
        <f t="shared" si="93"/>
        <v>0</v>
      </c>
      <c r="T70" s="8">
        <f t="shared" si="94"/>
        <v>11.63</v>
      </c>
      <c r="U70" s="5" t="b">
        <f t="shared" si="95"/>
        <v>1</v>
      </c>
      <c r="V70" s="8">
        <f t="shared" si="96"/>
        <v>0</v>
      </c>
      <c r="W70" s="8">
        <f t="shared" si="97"/>
        <v>0</v>
      </c>
      <c r="X70" s="5" t="b">
        <f t="shared" si="98"/>
        <v>0</v>
      </c>
      <c r="Y70" s="8">
        <f t="shared" si="99"/>
        <v>0</v>
      </c>
      <c r="Z70" s="8">
        <f t="shared" si="100"/>
        <v>0</v>
      </c>
      <c r="AA70" s="5" t="b">
        <f t="shared" si="101"/>
        <v>0</v>
      </c>
      <c r="AB70" s="8">
        <f t="shared" si="102"/>
        <v>0</v>
      </c>
      <c r="AC70" s="8">
        <f t="shared" si="103"/>
        <v>0</v>
      </c>
      <c r="AD70" s="5" t="b">
        <f t="shared" si="104"/>
        <v>0</v>
      </c>
      <c r="AE70" s="8">
        <f t="shared" si="105"/>
        <v>0</v>
      </c>
      <c r="AF70" s="8">
        <f t="shared" si="106"/>
        <v>0</v>
      </c>
      <c r="AG70" s="5" t="b">
        <f t="shared" si="107"/>
        <v>0</v>
      </c>
      <c r="AH70" s="8">
        <f t="shared" si="108"/>
        <v>0</v>
      </c>
      <c r="AI70" s="8">
        <f t="shared" si="109"/>
        <v>0</v>
      </c>
      <c r="AJ70" s="24">
        <f t="shared" si="110"/>
        <v>0</v>
      </c>
      <c r="AK70" s="8">
        <f t="shared" si="111"/>
        <v>11.63</v>
      </c>
      <c r="AL70" s="8">
        <f t="shared" si="112"/>
        <v>0</v>
      </c>
      <c r="AM70" s="183" t="b">
        <f t="shared" si="113"/>
        <v>1</v>
      </c>
      <c r="AN70" s="8">
        <f t="shared" si="114"/>
        <v>0</v>
      </c>
      <c r="AO70" s="54">
        <f t="shared" si="115"/>
        <v>3419.9999999999995</v>
      </c>
      <c r="AP70" s="8">
        <f t="shared" si="116"/>
        <v>0</v>
      </c>
      <c r="AQ70" s="8">
        <f t="shared" si="124"/>
        <v>11.63</v>
      </c>
      <c r="AR70" s="106">
        <f t="shared" si="117"/>
        <v>0</v>
      </c>
      <c r="AS70" s="106">
        <f t="shared" si="118"/>
        <v>0</v>
      </c>
      <c r="AT70" s="106">
        <f t="shared" si="119"/>
        <v>0</v>
      </c>
      <c r="AU70" s="106">
        <f t="shared" si="120"/>
        <v>0</v>
      </c>
      <c r="AV70" s="106">
        <f t="shared" si="121"/>
        <v>0</v>
      </c>
      <c r="AW70" t="b">
        <f t="shared" si="122"/>
        <v>1</v>
      </c>
      <c r="AX70" t="b">
        <f t="shared" si="123"/>
        <v>1</v>
      </c>
    </row>
    <row r="71" spans="1:50" x14ac:dyDescent="0.25">
      <c r="A71" s="1">
        <v>69</v>
      </c>
      <c r="B71" s="10">
        <v>40721</v>
      </c>
      <c r="C71" s="5">
        <v>6</v>
      </c>
      <c r="D71" s="13">
        <v>2</v>
      </c>
      <c r="E71" s="57" t="str">
        <f t="shared" si="79"/>
        <v>Routine Venipuncture</v>
      </c>
      <c r="F71" t="str">
        <f t="shared" si="80"/>
        <v>Diagnostic Services: Laboratory</v>
      </c>
      <c r="G71" t="str">
        <f t="shared" si="81"/>
        <v>Plan Deductible Only</v>
      </c>
      <c r="H71" s="109">
        <f t="shared" si="82"/>
        <v>4.17</v>
      </c>
      <c r="I71" s="109">
        <f t="shared" si="83"/>
        <v>0</v>
      </c>
      <c r="J71" s="109">
        <f t="shared" si="84"/>
        <v>4.17</v>
      </c>
      <c r="K71" s="5" t="str">
        <f t="shared" si="85"/>
        <v>None</v>
      </c>
      <c r="L71">
        <f t="shared" si="86"/>
        <v>0</v>
      </c>
      <c r="M71" s="3">
        <f t="shared" si="87"/>
        <v>0</v>
      </c>
      <c r="N71" s="5" t="str">
        <f t="shared" si="88"/>
        <v>None</v>
      </c>
      <c r="O71">
        <f t="shared" si="89"/>
        <v>1</v>
      </c>
      <c r="P71" s="3">
        <f t="shared" si="90"/>
        <v>0</v>
      </c>
      <c r="Q71" s="8">
        <f t="shared" si="91"/>
        <v>0</v>
      </c>
      <c r="R71" s="16">
        <f t="shared" si="92"/>
        <v>0</v>
      </c>
      <c r="S71" s="8">
        <f t="shared" si="93"/>
        <v>0</v>
      </c>
      <c r="T71" s="8">
        <f t="shared" si="94"/>
        <v>4.17</v>
      </c>
      <c r="U71" s="5" t="b">
        <f t="shared" si="95"/>
        <v>1</v>
      </c>
      <c r="V71" s="8">
        <f t="shared" si="96"/>
        <v>0</v>
      </c>
      <c r="W71" s="8">
        <f t="shared" si="97"/>
        <v>0</v>
      </c>
      <c r="X71" s="5" t="b">
        <f t="shared" si="98"/>
        <v>0</v>
      </c>
      <c r="Y71" s="8">
        <f t="shared" si="99"/>
        <v>0</v>
      </c>
      <c r="Z71" s="8">
        <f t="shared" si="100"/>
        <v>0</v>
      </c>
      <c r="AA71" s="5" t="b">
        <f t="shared" si="101"/>
        <v>0</v>
      </c>
      <c r="AB71" s="8">
        <f t="shared" si="102"/>
        <v>0</v>
      </c>
      <c r="AC71" s="8">
        <f t="shared" si="103"/>
        <v>0</v>
      </c>
      <c r="AD71" s="5" t="b">
        <f t="shared" si="104"/>
        <v>0</v>
      </c>
      <c r="AE71" s="8">
        <f t="shared" si="105"/>
        <v>0</v>
      </c>
      <c r="AF71" s="8">
        <f t="shared" si="106"/>
        <v>0</v>
      </c>
      <c r="AG71" s="5" t="b">
        <f t="shared" si="107"/>
        <v>0</v>
      </c>
      <c r="AH71" s="8">
        <f t="shared" si="108"/>
        <v>0</v>
      </c>
      <c r="AI71" s="8">
        <f t="shared" si="109"/>
        <v>0</v>
      </c>
      <c r="AJ71" s="24">
        <f t="shared" si="110"/>
        <v>0</v>
      </c>
      <c r="AK71" s="8">
        <f t="shared" si="111"/>
        <v>4.17</v>
      </c>
      <c r="AL71" s="8">
        <f t="shared" si="112"/>
        <v>0</v>
      </c>
      <c r="AM71" s="183" t="b">
        <f t="shared" si="113"/>
        <v>1</v>
      </c>
      <c r="AN71" s="8">
        <f t="shared" si="114"/>
        <v>0</v>
      </c>
      <c r="AO71" s="54">
        <f t="shared" si="115"/>
        <v>3419.9999999999995</v>
      </c>
      <c r="AP71" s="8">
        <f t="shared" si="116"/>
        <v>0</v>
      </c>
      <c r="AQ71" s="8">
        <f t="shared" si="124"/>
        <v>4.17</v>
      </c>
      <c r="AR71" s="106">
        <f t="shared" si="117"/>
        <v>0</v>
      </c>
      <c r="AS71" s="106">
        <f t="shared" si="118"/>
        <v>0</v>
      </c>
      <c r="AT71" s="106">
        <f t="shared" si="119"/>
        <v>0</v>
      </c>
      <c r="AU71" s="106">
        <f t="shared" si="120"/>
        <v>0</v>
      </c>
      <c r="AV71" s="106">
        <f t="shared" si="121"/>
        <v>0</v>
      </c>
      <c r="AW71" t="b">
        <f t="shared" si="122"/>
        <v>1</v>
      </c>
      <c r="AX71" t="b">
        <f t="shared" si="123"/>
        <v>1</v>
      </c>
    </row>
    <row r="72" spans="1:50" x14ac:dyDescent="0.25">
      <c r="A72" s="1">
        <v>70</v>
      </c>
      <c r="B72" s="10">
        <v>40721</v>
      </c>
      <c r="C72" s="5">
        <v>6</v>
      </c>
      <c r="D72" s="13">
        <v>11</v>
      </c>
      <c r="E72" s="57" t="str">
        <f t="shared" si="79"/>
        <v>Urinalysis Auto W/O Scope</v>
      </c>
      <c r="F72" t="str">
        <f t="shared" si="80"/>
        <v>Diagnostic Services: Laboratory</v>
      </c>
      <c r="G72" t="str">
        <f t="shared" si="81"/>
        <v>Plan Deductible Only</v>
      </c>
      <c r="H72" s="109">
        <f t="shared" si="82"/>
        <v>3.09</v>
      </c>
      <c r="I72" s="109">
        <f t="shared" si="83"/>
        <v>0</v>
      </c>
      <c r="J72" s="109">
        <f t="shared" si="84"/>
        <v>3.09</v>
      </c>
      <c r="K72" s="5" t="str">
        <f t="shared" si="85"/>
        <v>None</v>
      </c>
      <c r="L72">
        <f t="shared" si="86"/>
        <v>0</v>
      </c>
      <c r="M72" s="3">
        <f t="shared" si="87"/>
        <v>0</v>
      </c>
      <c r="N72" s="5" t="str">
        <f t="shared" si="88"/>
        <v>None</v>
      </c>
      <c r="O72">
        <f t="shared" si="89"/>
        <v>1</v>
      </c>
      <c r="P72" s="3">
        <f t="shared" si="90"/>
        <v>0</v>
      </c>
      <c r="Q72" s="8">
        <f t="shared" si="91"/>
        <v>0</v>
      </c>
      <c r="R72" s="16">
        <f t="shared" si="92"/>
        <v>0</v>
      </c>
      <c r="S72" s="8">
        <f t="shared" si="93"/>
        <v>0</v>
      </c>
      <c r="T72" s="8">
        <f t="shared" si="94"/>
        <v>3.09</v>
      </c>
      <c r="U72" s="5" t="b">
        <f t="shared" si="95"/>
        <v>1</v>
      </c>
      <c r="V72" s="8">
        <f t="shared" si="96"/>
        <v>0</v>
      </c>
      <c r="W72" s="8">
        <f t="shared" si="97"/>
        <v>0</v>
      </c>
      <c r="X72" s="5" t="b">
        <f t="shared" si="98"/>
        <v>0</v>
      </c>
      <c r="Y72" s="8">
        <f t="shared" si="99"/>
        <v>0</v>
      </c>
      <c r="Z72" s="8">
        <f t="shared" si="100"/>
        <v>0</v>
      </c>
      <c r="AA72" s="5" t="b">
        <f t="shared" si="101"/>
        <v>0</v>
      </c>
      <c r="AB72" s="8">
        <f t="shared" si="102"/>
        <v>0</v>
      </c>
      <c r="AC72" s="8">
        <f t="shared" si="103"/>
        <v>0</v>
      </c>
      <c r="AD72" s="5" t="b">
        <f t="shared" si="104"/>
        <v>0</v>
      </c>
      <c r="AE72" s="8">
        <f t="shared" si="105"/>
        <v>0</v>
      </c>
      <c r="AF72" s="8">
        <f t="shared" si="106"/>
        <v>0</v>
      </c>
      <c r="AG72" s="5" t="b">
        <f t="shared" si="107"/>
        <v>0</v>
      </c>
      <c r="AH72" s="8">
        <f t="shared" si="108"/>
        <v>0</v>
      </c>
      <c r="AI72" s="8">
        <f t="shared" si="109"/>
        <v>0</v>
      </c>
      <c r="AJ72" s="24">
        <f t="shared" si="110"/>
        <v>0</v>
      </c>
      <c r="AK72" s="8">
        <f t="shared" si="111"/>
        <v>3.09</v>
      </c>
      <c r="AL72" s="8">
        <f t="shared" si="112"/>
        <v>0</v>
      </c>
      <c r="AM72" s="183" t="b">
        <f t="shared" si="113"/>
        <v>1</v>
      </c>
      <c r="AN72" s="8">
        <f t="shared" si="114"/>
        <v>0</v>
      </c>
      <c r="AO72" s="54">
        <f t="shared" si="115"/>
        <v>3419.9999999999995</v>
      </c>
      <c r="AP72" s="8">
        <f t="shared" si="116"/>
        <v>0</v>
      </c>
      <c r="AQ72" s="8">
        <f t="shared" si="124"/>
        <v>3.09</v>
      </c>
      <c r="AR72" s="106">
        <f t="shared" si="117"/>
        <v>0</v>
      </c>
      <c r="AS72" s="106">
        <f t="shared" si="118"/>
        <v>0</v>
      </c>
      <c r="AT72" s="106">
        <f t="shared" si="119"/>
        <v>0</v>
      </c>
      <c r="AU72" s="106">
        <f t="shared" si="120"/>
        <v>0</v>
      </c>
      <c r="AV72" s="106">
        <f t="shared" si="121"/>
        <v>0</v>
      </c>
      <c r="AW72" t="b">
        <f t="shared" si="122"/>
        <v>1</v>
      </c>
      <c r="AX72" t="b">
        <f t="shared" si="123"/>
        <v>1</v>
      </c>
    </row>
    <row r="73" spans="1:50" x14ac:dyDescent="0.25">
      <c r="A73" s="1">
        <v>71</v>
      </c>
      <c r="B73" s="10">
        <v>40721</v>
      </c>
      <c r="C73" s="5">
        <v>6</v>
      </c>
      <c r="D73" s="13">
        <v>24</v>
      </c>
      <c r="E73" s="57" t="str">
        <f t="shared" si="79"/>
        <v>Office/Outpatient Visit Est</v>
      </c>
      <c r="F73" t="str">
        <f t="shared" si="80"/>
        <v>Professional Services: Primary Care</v>
      </c>
      <c r="G73" t="str">
        <f t="shared" si="81"/>
        <v>Copayment Only</v>
      </c>
      <c r="H73" s="109">
        <f t="shared" si="82"/>
        <v>107.87</v>
      </c>
      <c r="I73" s="109">
        <f t="shared" si="83"/>
        <v>0</v>
      </c>
      <c r="J73" s="109">
        <f t="shared" si="84"/>
        <v>107.87</v>
      </c>
      <c r="K73" s="5" t="str">
        <f t="shared" si="85"/>
        <v>None</v>
      </c>
      <c r="L73">
        <f t="shared" si="86"/>
        <v>0</v>
      </c>
      <c r="M73" s="3">
        <f t="shared" si="87"/>
        <v>0</v>
      </c>
      <c r="N73" s="5" t="str">
        <f t="shared" si="88"/>
        <v>None</v>
      </c>
      <c r="O73">
        <f t="shared" si="89"/>
        <v>2</v>
      </c>
      <c r="P73" s="3">
        <f t="shared" si="90"/>
        <v>0</v>
      </c>
      <c r="Q73" s="8">
        <f t="shared" si="91"/>
        <v>30</v>
      </c>
      <c r="R73" s="16">
        <f t="shared" si="92"/>
        <v>0</v>
      </c>
      <c r="S73" s="8">
        <f t="shared" si="93"/>
        <v>0</v>
      </c>
      <c r="T73" s="8">
        <f t="shared" si="94"/>
        <v>77.87</v>
      </c>
      <c r="U73" s="5" t="b">
        <f t="shared" si="95"/>
        <v>0</v>
      </c>
      <c r="V73" s="8">
        <f t="shared" si="96"/>
        <v>0</v>
      </c>
      <c r="W73" s="8">
        <f t="shared" si="97"/>
        <v>0</v>
      </c>
      <c r="X73" s="5" t="b">
        <f t="shared" si="98"/>
        <v>0</v>
      </c>
      <c r="Y73" s="8">
        <f t="shared" si="99"/>
        <v>0</v>
      </c>
      <c r="Z73" s="8">
        <f t="shared" si="100"/>
        <v>0</v>
      </c>
      <c r="AA73" s="5" t="b">
        <f t="shared" si="101"/>
        <v>0</v>
      </c>
      <c r="AB73" s="8">
        <f t="shared" si="102"/>
        <v>0</v>
      </c>
      <c r="AC73" s="8">
        <f t="shared" si="103"/>
        <v>0</v>
      </c>
      <c r="AD73" s="5" t="b">
        <f t="shared" si="104"/>
        <v>0</v>
      </c>
      <c r="AE73" s="8">
        <f t="shared" si="105"/>
        <v>0</v>
      </c>
      <c r="AF73" s="8">
        <f t="shared" si="106"/>
        <v>0</v>
      </c>
      <c r="AG73" s="5" t="b">
        <f t="shared" si="107"/>
        <v>0</v>
      </c>
      <c r="AH73" s="8">
        <f t="shared" si="108"/>
        <v>0</v>
      </c>
      <c r="AI73" s="8">
        <f t="shared" si="109"/>
        <v>0</v>
      </c>
      <c r="AJ73" s="24">
        <f t="shared" si="110"/>
        <v>0</v>
      </c>
      <c r="AK73" s="8">
        <f t="shared" si="111"/>
        <v>107.87</v>
      </c>
      <c r="AL73" s="8">
        <f t="shared" si="112"/>
        <v>30</v>
      </c>
      <c r="AM73" s="183" t="b">
        <f t="shared" si="113"/>
        <v>1</v>
      </c>
      <c r="AN73" s="8">
        <f t="shared" si="114"/>
        <v>30</v>
      </c>
      <c r="AO73" s="54">
        <f t="shared" si="115"/>
        <v>3419.9999999999995</v>
      </c>
      <c r="AP73" s="8">
        <f t="shared" si="116"/>
        <v>30</v>
      </c>
      <c r="AQ73" s="8">
        <f t="shared" si="124"/>
        <v>77.87</v>
      </c>
      <c r="AR73" s="106">
        <f t="shared" si="117"/>
        <v>0</v>
      </c>
      <c r="AS73" s="106">
        <f t="shared" si="118"/>
        <v>0</v>
      </c>
      <c r="AT73" s="106">
        <f t="shared" si="119"/>
        <v>30</v>
      </c>
      <c r="AU73" s="106">
        <f t="shared" si="120"/>
        <v>0</v>
      </c>
      <c r="AV73" s="106">
        <f t="shared" si="121"/>
        <v>0</v>
      </c>
      <c r="AW73" t="b">
        <f t="shared" si="122"/>
        <v>1</v>
      </c>
      <c r="AX73" t="b">
        <f t="shared" si="123"/>
        <v>1</v>
      </c>
    </row>
    <row r="74" spans="1:50" x14ac:dyDescent="0.25">
      <c r="A74" s="1">
        <v>72</v>
      </c>
      <c r="B74" s="10">
        <v>40722</v>
      </c>
      <c r="C74" s="5">
        <v>6</v>
      </c>
      <c r="D74" s="13">
        <v>21</v>
      </c>
      <c r="E74" s="57" t="str">
        <f t="shared" si="79"/>
        <v>Self-mgmt educ &amp; train 1 pt</v>
      </c>
      <c r="F74" t="str">
        <f t="shared" si="80"/>
        <v>Professional Services: Primary Care</v>
      </c>
      <c r="G74" t="str">
        <f t="shared" si="81"/>
        <v>Copayment Only</v>
      </c>
      <c r="H74" s="109">
        <f t="shared" si="82"/>
        <v>99.9</v>
      </c>
      <c r="I74" s="109">
        <f t="shared" si="83"/>
        <v>0</v>
      </c>
      <c r="J74" s="109">
        <f t="shared" si="84"/>
        <v>99.9</v>
      </c>
      <c r="K74" s="5" t="str">
        <f t="shared" si="85"/>
        <v>None</v>
      </c>
      <c r="L74">
        <f t="shared" si="86"/>
        <v>0</v>
      </c>
      <c r="M74" s="3">
        <f t="shared" si="87"/>
        <v>0</v>
      </c>
      <c r="N74" s="5" t="str">
        <f t="shared" si="88"/>
        <v>None</v>
      </c>
      <c r="O74">
        <f t="shared" si="89"/>
        <v>1</v>
      </c>
      <c r="P74" s="3">
        <f t="shared" si="90"/>
        <v>0</v>
      </c>
      <c r="Q74" s="8">
        <f t="shared" si="91"/>
        <v>30</v>
      </c>
      <c r="R74" s="16">
        <f t="shared" si="92"/>
        <v>0</v>
      </c>
      <c r="S74" s="8">
        <f t="shared" si="93"/>
        <v>0</v>
      </c>
      <c r="T74" s="8">
        <f t="shared" si="94"/>
        <v>69.900000000000006</v>
      </c>
      <c r="U74" s="5" t="b">
        <f t="shared" si="95"/>
        <v>0</v>
      </c>
      <c r="V74" s="8">
        <f t="shared" si="96"/>
        <v>0</v>
      </c>
      <c r="W74" s="8">
        <f t="shared" si="97"/>
        <v>0</v>
      </c>
      <c r="X74" s="5" t="b">
        <f t="shared" si="98"/>
        <v>0</v>
      </c>
      <c r="Y74" s="8">
        <f t="shared" si="99"/>
        <v>0</v>
      </c>
      <c r="Z74" s="8">
        <f t="shared" si="100"/>
        <v>0</v>
      </c>
      <c r="AA74" s="5" t="b">
        <f t="shared" si="101"/>
        <v>0</v>
      </c>
      <c r="AB74" s="8">
        <f t="shared" si="102"/>
        <v>0</v>
      </c>
      <c r="AC74" s="8">
        <f t="shared" si="103"/>
        <v>0</v>
      </c>
      <c r="AD74" s="5" t="b">
        <f t="shared" si="104"/>
        <v>0</v>
      </c>
      <c r="AE74" s="8">
        <f t="shared" si="105"/>
        <v>0</v>
      </c>
      <c r="AF74" s="8">
        <f t="shared" si="106"/>
        <v>0</v>
      </c>
      <c r="AG74" s="5" t="b">
        <f t="shared" si="107"/>
        <v>0</v>
      </c>
      <c r="AH74" s="8">
        <f t="shared" si="108"/>
        <v>0</v>
      </c>
      <c r="AI74" s="8">
        <f t="shared" si="109"/>
        <v>0</v>
      </c>
      <c r="AJ74" s="24">
        <f t="shared" si="110"/>
        <v>0</v>
      </c>
      <c r="AK74" s="8">
        <f t="shared" si="111"/>
        <v>99.9</v>
      </c>
      <c r="AL74" s="8">
        <f t="shared" si="112"/>
        <v>30</v>
      </c>
      <c r="AM74" s="183" t="b">
        <f t="shared" si="113"/>
        <v>1</v>
      </c>
      <c r="AN74" s="8">
        <f t="shared" si="114"/>
        <v>30</v>
      </c>
      <c r="AO74" s="54">
        <f t="shared" si="115"/>
        <v>3389.9999999999995</v>
      </c>
      <c r="AP74" s="8">
        <f t="shared" si="116"/>
        <v>30</v>
      </c>
      <c r="AQ74" s="8">
        <f t="shared" si="124"/>
        <v>69.900000000000006</v>
      </c>
      <c r="AR74" s="106">
        <f t="shared" si="117"/>
        <v>0</v>
      </c>
      <c r="AS74" s="106">
        <f t="shared" si="118"/>
        <v>0</v>
      </c>
      <c r="AT74" s="106">
        <f t="shared" si="119"/>
        <v>30</v>
      </c>
      <c r="AU74" s="106">
        <f t="shared" si="120"/>
        <v>0</v>
      </c>
      <c r="AV74" s="106">
        <f t="shared" si="121"/>
        <v>0</v>
      </c>
      <c r="AW74" t="b">
        <f t="shared" si="122"/>
        <v>1</v>
      </c>
      <c r="AX74" t="b">
        <f t="shared" si="123"/>
        <v>1</v>
      </c>
    </row>
    <row r="75" spans="1:50" x14ac:dyDescent="0.25">
      <c r="A75" s="1">
        <v>73</v>
      </c>
      <c r="B75" s="10">
        <v>40722</v>
      </c>
      <c r="C75" s="5">
        <v>6</v>
      </c>
      <c r="D75" s="13">
        <v>20</v>
      </c>
      <c r="E75" s="57" t="str">
        <f t="shared" si="79"/>
        <v>Med Nutrition Indiv Subseq</v>
      </c>
      <c r="F75" t="str">
        <f t="shared" si="80"/>
        <v>Professional Services: Primary Care</v>
      </c>
      <c r="G75" t="str">
        <f t="shared" si="81"/>
        <v>Copayment Only</v>
      </c>
      <c r="H75" s="109">
        <f t="shared" si="82"/>
        <v>80</v>
      </c>
      <c r="I75" s="109">
        <f t="shared" si="83"/>
        <v>0</v>
      </c>
      <c r="J75" s="109">
        <f t="shared" si="84"/>
        <v>80</v>
      </c>
      <c r="K75" s="5" t="str">
        <f t="shared" si="85"/>
        <v>None</v>
      </c>
      <c r="L75">
        <f t="shared" si="86"/>
        <v>0</v>
      </c>
      <c r="M75" s="3">
        <f t="shared" si="87"/>
        <v>0</v>
      </c>
      <c r="N75" s="5" t="str">
        <f t="shared" si="88"/>
        <v>None</v>
      </c>
      <c r="O75">
        <f t="shared" si="89"/>
        <v>1</v>
      </c>
      <c r="P75" s="3">
        <f t="shared" si="90"/>
        <v>0</v>
      </c>
      <c r="Q75" s="8">
        <f t="shared" si="91"/>
        <v>30</v>
      </c>
      <c r="R75" s="16">
        <f t="shared" si="92"/>
        <v>0</v>
      </c>
      <c r="S75" s="8">
        <f t="shared" si="93"/>
        <v>0</v>
      </c>
      <c r="T75" s="8">
        <f t="shared" si="94"/>
        <v>50</v>
      </c>
      <c r="U75" s="5" t="b">
        <f t="shared" si="95"/>
        <v>0</v>
      </c>
      <c r="V75" s="8">
        <f t="shared" si="96"/>
        <v>0</v>
      </c>
      <c r="W75" s="8">
        <f t="shared" si="97"/>
        <v>0</v>
      </c>
      <c r="X75" s="5" t="b">
        <f t="shared" si="98"/>
        <v>0</v>
      </c>
      <c r="Y75" s="8">
        <f t="shared" si="99"/>
        <v>0</v>
      </c>
      <c r="Z75" s="8">
        <f t="shared" si="100"/>
        <v>0</v>
      </c>
      <c r="AA75" s="5" t="b">
        <f t="shared" si="101"/>
        <v>0</v>
      </c>
      <c r="AB75" s="8">
        <f t="shared" si="102"/>
        <v>0</v>
      </c>
      <c r="AC75" s="8">
        <f t="shared" si="103"/>
        <v>0</v>
      </c>
      <c r="AD75" s="5" t="b">
        <f t="shared" si="104"/>
        <v>0</v>
      </c>
      <c r="AE75" s="8">
        <f t="shared" si="105"/>
        <v>0</v>
      </c>
      <c r="AF75" s="8">
        <f t="shared" si="106"/>
        <v>0</v>
      </c>
      <c r="AG75" s="5" t="b">
        <f t="shared" si="107"/>
        <v>0</v>
      </c>
      <c r="AH75" s="8">
        <f t="shared" si="108"/>
        <v>0</v>
      </c>
      <c r="AI75" s="8">
        <f t="shared" si="109"/>
        <v>0</v>
      </c>
      <c r="AJ75" s="24">
        <f t="shared" si="110"/>
        <v>0</v>
      </c>
      <c r="AK75" s="8">
        <f t="shared" si="111"/>
        <v>80</v>
      </c>
      <c r="AL75" s="8">
        <f t="shared" si="112"/>
        <v>30</v>
      </c>
      <c r="AM75" s="183" t="b">
        <f t="shared" si="113"/>
        <v>1</v>
      </c>
      <c r="AN75" s="8">
        <f t="shared" si="114"/>
        <v>30</v>
      </c>
      <c r="AO75" s="54">
        <f t="shared" si="115"/>
        <v>3359.9999999999995</v>
      </c>
      <c r="AP75" s="8">
        <f t="shared" si="116"/>
        <v>30</v>
      </c>
      <c r="AQ75" s="8">
        <f t="shared" si="124"/>
        <v>50</v>
      </c>
      <c r="AR75" s="106">
        <f t="shared" si="117"/>
        <v>0</v>
      </c>
      <c r="AS75" s="106">
        <f t="shared" si="118"/>
        <v>0</v>
      </c>
      <c r="AT75" s="106">
        <f t="shared" si="119"/>
        <v>30</v>
      </c>
      <c r="AU75" s="106">
        <f t="shared" si="120"/>
        <v>0</v>
      </c>
      <c r="AV75" s="106">
        <f t="shared" si="121"/>
        <v>0</v>
      </c>
      <c r="AW75" t="b">
        <f t="shared" si="122"/>
        <v>1</v>
      </c>
      <c r="AX75" t="b">
        <f t="shared" si="123"/>
        <v>1</v>
      </c>
    </row>
    <row r="76" spans="1:50" x14ac:dyDescent="0.25">
      <c r="A76" s="1">
        <v>74</v>
      </c>
      <c r="B76" s="10">
        <v>40726</v>
      </c>
      <c r="C76" s="5">
        <v>7</v>
      </c>
      <c r="D76" s="13">
        <v>25</v>
      </c>
      <c r="E76" s="57" t="str">
        <f t="shared" si="79"/>
        <v>Alcohol swabs (OTC - box of 100)  [usage = 3 wipes/day; 90 wipes/month]</v>
      </c>
      <c r="F76" t="str">
        <f t="shared" si="80"/>
        <v>Over-the-counter Drugs</v>
      </c>
      <c r="G76" t="str">
        <f t="shared" si="81"/>
        <v>Not Covered</v>
      </c>
      <c r="H76" s="109">
        <f t="shared" si="82"/>
        <v>2.6074999999999999</v>
      </c>
      <c r="I76" s="109">
        <f t="shared" si="83"/>
        <v>2.6074999999999999</v>
      </c>
      <c r="J76" s="109">
        <f t="shared" si="84"/>
        <v>0</v>
      </c>
      <c r="K76" s="5" t="str">
        <f t="shared" si="85"/>
        <v>None</v>
      </c>
      <c r="L76">
        <f t="shared" si="86"/>
        <v>0</v>
      </c>
      <c r="M76" s="3">
        <f t="shared" si="87"/>
        <v>0</v>
      </c>
      <c r="N76" s="5" t="str">
        <f t="shared" si="88"/>
        <v>None</v>
      </c>
      <c r="O76">
        <f t="shared" si="89"/>
        <v>6</v>
      </c>
      <c r="P76" s="3">
        <f t="shared" si="90"/>
        <v>0</v>
      </c>
      <c r="Q76" s="8">
        <f t="shared" si="91"/>
        <v>0</v>
      </c>
      <c r="R76" s="16">
        <f t="shared" si="92"/>
        <v>0</v>
      </c>
      <c r="S76" s="8">
        <f t="shared" si="93"/>
        <v>0</v>
      </c>
      <c r="T76" s="8">
        <f t="shared" si="94"/>
        <v>0</v>
      </c>
      <c r="U76" s="5" t="b">
        <f t="shared" si="95"/>
        <v>0</v>
      </c>
      <c r="V76" s="8">
        <f t="shared" si="96"/>
        <v>0</v>
      </c>
      <c r="W76" s="8">
        <f t="shared" si="97"/>
        <v>0</v>
      </c>
      <c r="X76" s="5" t="b">
        <f t="shared" si="98"/>
        <v>0</v>
      </c>
      <c r="Y76" s="8">
        <f t="shared" si="99"/>
        <v>0</v>
      </c>
      <c r="Z76" s="8">
        <f t="shared" si="100"/>
        <v>0</v>
      </c>
      <c r="AA76" s="5" t="b">
        <f t="shared" si="101"/>
        <v>0</v>
      </c>
      <c r="AB76" s="8">
        <f t="shared" si="102"/>
        <v>0</v>
      </c>
      <c r="AC76" s="8">
        <f t="shared" si="103"/>
        <v>0</v>
      </c>
      <c r="AD76" s="5" t="b">
        <f t="shared" si="104"/>
        <v>0</v>
      </c>
      <c r="AE76" s="8">
        <f t="shared" si="105"/>
        <v>0</v>
      </c>
      <c r="AF76" s="8">
        <f t="shared" si="106"/>
        <v>0</v>
      </c>
      <c r="AG76" s="5" t="b">
        <f t="shared" si="107"/>
        <v>0</v>
      </c>
      <c r="AH76" s="8">
        <f t="shared" si="108"/>
        <v>0</v>
      </c>
      <c r="AI76" s="8">
        <f t="shared" si="109"/>
        <v>0</v>
      </c>
      <c r="AJ76" s="24">
        <f t="shared" si="110"/>
        <v>0</v>
      </c>
      <c r="AK76" s="8">
        <f t="shared" si="111"/>
        <v>0</v>
      </c>
      <c r="AL76" s="8">
        <f t="shared" si="112"/>
        <v>0</v>
      </c>
      <c r="AM76" s="183" t="b">
        <f t="shared" si="113"/>
        <v>0</v>
      </c>
      <c r="AN76" s="8">
        <f t="shared" si="114"/>
        <v>0</v>
      </c>
      <c r="AO76" s="54">
        <f t="shared" si="115"/>
        <v>0</v>
      </c>
      <c r="AP76" s="8">
        <f t="shared" si="116"/>
        <v>0</v>
      </c>
      <c r="AQ76" s="8">
        <f t="shared" si="124"/>
        <v>0</v>
      </c>
      <c r="AR76" s="106">
        <f t="shared" si="117"/>
        <v>2.6074999999999999</v>
      </c>
      <c r="AS76" s="106">
        <f t="shared" si="118"/>
        <v>0</v>
      </c>
      <c r="AT76" s="106">
        <f t="shared" si="119"/>
        <v>0</v>
      </c>
      <c r="AU76" s="106">
        <f t="shared" si="120"/>
        <v>0</v>
      </c>
      <c r="AV76" s="106">
        <f t="shared" si="121"/>
        <v>0</v>
      </c>
      <c r="AW76" t="b">
        <f t="shared" si="122"/>
        <v>1</v>
      </c>
      <c r="AX76" t="b">
        <f t="shared" si="123"/>
        <v>1</v>
      </c>
    </row>
    <row r="77" spans="1:50" x14ac:dyDescent="0.25">
      <c r="A77" s="1">
        <v>75</v>
      </c>
      <c r="B77" s="10">
        <v>40726</v>
      </c>
      <c r="C77" s="5">
        <v>7</v>
      </c>
      <c r="D77" s="13">
        <v>14</v>
      </c>
      <c r="E77" s="57" t="str">
        <f t="shared" si="79"/>
        <v>BD Ultrafine Insulin Syringes / 30G/ 0.5cc  [usage = 30 syringes per month]</v>
      </c>
      <c r="F77" t="str">
        <f t="shared" si="80"/>
        <v>Medical Supplies</v>
      </c>
      <c r="G77" t="str">
        <f t="shared" si="81"/>
        <v>Plan Deductible Only</v>
      </c>
      <c r="H77" s="109">
        <f t="shared" si="82"/>
        <v>42.66</v>
      </c>
      <c r="I77" s="109">
        <f t="shared" si="83"/>
        <v>0</v>
      </c>
      <c r="J77" s="109">
        <f t="shared" si="84"/>
        <v>42.66</v>
      </c>
      <c r="K77" s="5" t="str">
        <f t="shared" si="85"/>
        <v>None</v>
      </c>
      <c r="L77">
        <f t="shared" si="86"/>
        <v>0</v>
      </c>
      <c r="M77" s="3">
        <f t="shared" si="87"/>
        <v>0</v>
      </c>
      <c r="N77" s="5" t="str">
        <f t="shared" si="88"/>
        <v>None</v>
      </c>
      <c r="O77">
        <f t="shared" si="89"/>
        <v>6</v>
      </c>
      <c r="P77" s="3">
        <f t="shared" si="90"/>
        <v>0</v>
      </c>
      <c r="Q77" s="8">
        <f t="shared" si="91"/>
        <v>0</v>
      </c>
      <c r="R77" s="16">
        <f t="shared" si="92"/>
        <v>0</v>
      </c>
      <c r="S77" s="8">
        <f t="shared" si="93"/>
        <v>0</v>
      </c>
      <c r="T77" s="8">
        <f t="shared" si="94"/>
        <v>42.66</v>
      </c>
      <c r="U77" s="5" t="b">
        <f t="shared" si="95"/>
        <v>1</v>
      </c>
      <c r="V77" s="8">
        <f t="shared" si="96"/>
        <v>0</v>
      </c>
      <c r="W77" s="8">
        <f t="shared" si="97"/>
        <v>0</v>
      </c>
      <c r="X77" s="5" t="b">
        <f t="shared" si="98"/>
        <v>0</v>
      </c>
      <c r="Y77" s="8">
        <f t="shared" si="99"/>
        <v>0</v>
      </c>
      <c r="Z77" s="8">
        <f t="shared" si="100"/>
        <v>0</v>
      </c>
      <c r="AA77" s="5" t="b">
        <f t="shared" si="101"/>
        <v>0</v>
      </c>
      <c r="AB77" s="8">
        <f t="shared" si="102"/>
        <v>0</v>
      </c>
      <c r="AC77" s="8">
        <f t="shared" si="103"/>
        <v>0</v>
      </c>
      <c r="AD77" s="5" t="b">
        <f t="shared" si="104"/>
        <v>0</v>
      </c>
      <c r="AE77" s="8">
        <f t="shared" si="105"/>
        <v>0</v>
      </c>
      <c r="AF77" s="8">
        <f t="shared" si="106"/>
        <v>0</v>
      </c>
      <c r="AG77" s="5" t="b">
        <f t="shared" si="107"/>
        <v>0</v>
      </c>
      <c r="AH77" s="8">
        <f t="shared" si="108"/>
        <v>0</v>
      </c>
      <c r="AI77" s="8">
        <f t="shared" si="109"/>
        <v>0</v>
      </c>
      <c r="AJ77" s="24">
        <f t="shared" si="110"/>
        <v>0</v>
      </c>
      <c r="AK77" s="8">
        <f t="shared" si="111"/>
        <v>42.66</v>
      </c>
      <c r="AL77" s="8">
        <f t="shared" si="112"/>
        <v>0</v>
      </c>
      <c r="AM77" s="183" t="b">
        <f t="shared" si="113"/>
        <v>1</v>
      </c>
      <c r="AN77" s="8">
        <f t="shared" si="114"/>
        <v>0</v>
      </c>
      <c r="AO77" s="54">
        <f t="shared" si="115"/>
        <v>3329.9999999999995</v>
      </c>
      <c r="AP77" s="8">
        <f t="shared" si="116"/>
        <v>0</v>
      </c>
      <c r="AQ77" s="8">
        <f t="shared" si="124"/>
        <v>42.66</v>
      </c>
      <c r="AR77" s="106">
        <f t="shared" si="117"/>
        <v>0</v>
      </c>
      <c r="AS77" s="106">
        <f t="shared" si="118"/>
        <v>0</v>
      </c>
      <c r="AT77" s="106">
        <f t="shared" si="119"/>
        <v>0</v>
      </c>
      <c r="AU77" s="106">
        <f t="shared" si="120"/>
        <v>0</v>
      </c>
      <c r="AV77" s="106">
        <f t="shared" si="121"/>
        <v>0</v>
      </c>
      <c r="AW77" t="b">
        <f t="shared" si="122"/>
        <v>1</v>
      </c>
      <c r="AX77" t="b">
        <f t="shared" si="123"/>
        <v>1</v>
      </c>
    </row>
    <row r="78" spans="1:50" x14ac:dyDescent="0.25">
      <c r="A78" s="1">
        <v>76</v>
      </c>
      <c r="B78" s="10">
        <v>40726</v>
      </c>
      <c r="C78" s="5">
        <v>7</v>
      </c>
      <c r="D78" s="13">
        <v>6</v>
      </c>
      <c r="E78" s="57" t="str">
        <f t="shared" si="79"/>
        <v>OneTouch Ultra Control Solution (2 vials/box)</v>
      </c>
      <c r="F78" t="str">
        <f t="shared" si="80"/>
        <v>Medical Supplies</v>
      </c>
      <c r="G78" t="str">
        <f t="shared" si="81"/>
        <v>Plan Deductible Only</v>
      </c>
      <c r="H78" s="109">
        <f t="shared" si="82"/>
        <v>5.07</v>
      </c>
      <c r="I78" s="109">
        <f t="shared" si="83"/>
        <v>0</v>
      </c>
      <c r="J78" s="109">
        <f t="shared" si="84"/>
        <v>5.07</v>
      </c>
      <c r="K78" s="5" t="str">
        <f t="shared" si="85"/>
        <v>None</v>
      </c>
      <c r="L78">
        <f t="shared" si="86"/>
        <v>0</v>
      </c>
      <c r="M78" s="3">
        <f t="shared" si="87"/>
        <v>0</v>
      </c>
      <c r="N78" s="5" t="str">
        <f t="shared" si="88"/>
        <v>None</v>
      </c>
      <c r="O78">
        <f t="shared" si="89"/>
        <v>1</v>
      </c>
      <c r="P78" s="3">
        <f t="shared" si="90"/>
        <v>0</v>
      </c>
      <c r="Q78" s="8">
        <f t="shared" si="91"/>
        <v>0</v>
      </c>
      <c r="R78" s="16">
        <f t="shared" si="92"/>
        <v>0</v>
      </c>
      <c r="S78" s="8">
        <f t="shared" si="93"/>
        <v>0</v>
      </c>
      <c r="T78" s="8">
        <f t="shared" si="94"/>
        <v>5.07</v>
      </c>
      <c r="U78" s="5" t="b">
        <f t="shared" si="95"/>
        <v>1</v>
      </c>
      <c r="V78" s="8">
        <f t="shared" si="96"/>
        <v>0</v>
      </c>
      <c r="W78" s="8">
        <f t="shared" si="97"/>
        <v>0</v>
      </c>
      <c r="X78" s="5" t="b">
        <f t="shared" si="98"/>
        <v>0</v>
      </c>
      <c r="Y78" s="8">
        <f t="shared" si="99"/>
        <v>0</v>
      </c>
      <c r="Z78" s="8">
        <f t="shared" si="100"/>
        <v>0</v>
      </c>
      <c r="AA78" s="5" t="b">
        <f t="shared" si="101"/>
        <v>0</v>
      </c>
      <c r="AB78" s="8">
        <f t="shared" si="102"/>
        <v>0</v>
      </c>
      <c r="AC78" s="8">
        <f t="shared" si="103"/>
        <v>0</v>
      </c>
      <c r="AD78" s="5" t="b">
        <f t="shared" si="104"/>
        <v>0</v>
      </c>
      <c r="AE78" s="8">
        <f t="shared" si="105"/>
        <v>0</v>
      </c>
      <c r="AF78" s="8">
        <f t="shared" si="106"/>
        <v>0</v>
      </c>
      <c r="AG78" s="5" t="b">
        <f t="shared" si="107"/>
        <v>0</v>
      </c>
      <c r="AH78" s="8">
        <f t="shared" si="108"/>
        <v>0</v>
      </c>
      <c r="AI78" s="8">
        <f t="shared" si="109"/>
        <v>0</v>
      </c>
      <c r="AJ78" s="24">
        <f t="shared" si="110"/>
        <v>0</v>
      </c>
      <c r="AK78" s="8">
        <f t="shared" si="111"/>
        <v>5.07</v>
      </c>
      <c r="AL78" s="8">
        <f t="shared" si="112"/>
        <v>0</v>
      </c>
      <c r="AM78" s="183" t="b">
        <f t="shared" si="113"/>
        <v>1</v>
      </c>
      <c r="AN78" s="8">
        <f t="shared" si="114"/>
        <v>0</v>
      </c>
      <c r="AO78" s="54">
        <f t="shared" si="115"/>
        <v>3329.9999999999995</v>
      </c>
      <c r="AP78" s="8">
        <f t="shared" si="116"/>
        <v>0</v>
      </c>
      <c r="AQ78" s="8">
        <f t="shared" si="124"/>
        <v>5.07</v>
      </c>
      <c r="AR78" s="106">
        <f t="shared" si="117"/>
        <v>0</v>
      </c>
      <c r="AS78" s="106">
        <f t="shared" si="118"/>
        <v>0</v>
      </c>
      <c r="AT78" s="106">
        <f t="shared" si="119"/>
        <v>0</v>
      </c>
      <c r="AU78" s="106">
        <f t="shared" si="120"/>
        <v>0</v>
      </c>
      <c r="AV78" s="106">
        <f t="shared" si="121"/>
        <v>0</v>
      </c>
      <c r="AW78" t="b">
        <f t="shared" si="122"/>
        <v>1</v>
      </c>
      <c r="AX78" t="b">
        <f t="shared" si="123"/>
        <v>1</v>
      </c>
    </row>
    <row r="79" spans="1:50" x14ac:dyDescent="0.25">
      <c r="A79" s="1">
        <v>77</v>
      </c>
      <c r="B79" s="10">
        <v>40726</v>
      </c>
      <c r="C79" s="5">
        <v>7</v>
      </c>
      <c r="D79" s="13">
        <v>32</v>
      </c>
      <c r="E79" s="57" t="str">
        <f t="shared" si="79"/>
        <v>METFORMIN HCL 850 MG TABLET</v>
      </c>
      <c r="F79" t="str">
        <f t="shared" si="80"/>
        <v>Prescription Drugs: Generic</v>
      </c>
      <c r="G79" t="str">
        <f t="shared" si="81"/>
        <v>Rx Deductible+Co-pay</v>
      </c>
      <c r="H79" s="109">
        <f t="shared" si="82"/>
        <v>9.19</v>
      </c>
      <c r="I79" s="109">
        <f t="shared" si="83"/>
        <v>0</v>
      </c>
      <c r="J79" s="109">
        <f t="shared" si="84"/>
        <v>9.19</v>
      </c>
      <c r="K79" s="5" t="str">
        <f t="shared" si="85"/>
        <v>None</v>
      </c>
      <c r="L79">
        <f t="shared" si="86"/>
        <v>0</v>
      </c>
      <c r="M79" s="3">
        <f t="shared" si="87"/>
        <v>0</v>
      </c>
      <c r="N79" s="5" t="str">
        <f t="shared" si="88"/>
        <v>None</v>
      </c>
      <c r="O79">
        <f t="shared" si="89"/>
        <v>6</v>
      </c>
      <c r="P79" s="3">
        <f t="shared" si="90"/>
        <v>0</v>
      </c>
      <c r="Q79" s="8">
        <f t="shared" si="91"/>
        <v>10</v>
      </c>
      <c r="R79" s="16">
        <f t="shared" si="92"/>
        <v>0</v>
      </c>
      <c r="S79" s="8">
        <f t="shared" si="93"/>
        <v>0</v>
      </c>
      <c r="T79" s="8">
        <f t="shared" si="94"/>
        <v>0</v>
      </c>
      <c r="U79" s="5" t="b">
        <f t="shared" si="95"/>
        <v>0</v>
      </c>
      <c r="V79" s="8">
        <f t="shared" si="96"/>
        <v>0</v>
      </c>
      <c r="W79" s="8">
        <f t="shared" si="97"/>
        <v>0</v>
      </c>
      <c r="X79" s="5" t="b">
        <f t="shared" si="98"/>
        <v>1</v>
      </c>
      <c r="Y79" s="8">
        <f t="shared" si="99"/>
        <v>0</v>
      </c>
      <c r="Z79" s="8">
        <f t="shared" si="100"/>
        <v>0</v>
      </c>
      <c r="AA79" s="5" t="b">
        <f t="shared" si="101"/>
        <v>0</v>
      </c>
      <c r="AB79" s="8">
        <f t="shared" si="102"/>
        <v>0</v>
      </c>
      <c r="AC79" s="8">
        <f t="shared" si="103"/>
        <v>0</v>
      </c>
      <c r="AD79" s="5" t="b">
        <f t="shared" si="104"/>
        <v>0</v>
      </c>
      <c r="AE79" s="8">
        <f t="shared" si="105"/>
        <v>0</v>
      </c>
      <c r="AF79" s="8">
        <f t="shared" si="106"/>
        <v>0</v>
      </c>
      <c r="AG79" s="5" t="b">
        <f t="shared" si="107"/>
        <v>0</v>
      </c>
      <c r="AH79" s="8">
        <f t="shared" si="108"/>
        <v>0</v>
      </c>
      <c r="AI79" s="8">
        <f t="shared" si="109"/>
        <v>0</v>
      </c>
      <c r="AJ79" s="24">
        <f t="shared" si="110"/>
        <v>0</v>
      </c>
      <c r="AK79" s="8">
        <f t="shared" si="111"/>
        <v>9.19</v>
      </c>
      <c r="AL79" s="8">
        <f t="shared" si="112"/>
        <v>10</v>
      </c>
      <c r="AM79" s="183" t="b">
        <f t="shared" si="113"/>
        <v>1</v>
      </c>
      <c r="AN79" s="8">
        <f t="shared" si="114"/>
        <v>10</v>
      </c>
      <c r="AO79" s="54">
        <f t="shared" si="115"/>
        <v>3329.9999999999995</v>
      </c>
      <c r="AP79" s="8">
        <f t="shared" si="116"/>
        <v>10</v>
      </c>
      <c r="AQ79" s="8">
        <f t="shared" si="124"/>
        <v>0</v>
      </c>
      <c r="AR79" s="106">
        <f t="shared" si="117"/>
        <v>0</v>
      </c>
      <c r="AS79" s="106">
        <f t="shared" si="118"/>
        <v>0</v>
      </c>
      <c r="AT79" s="106">
        <f t="shared" si="119"/>
        <v>10</v>
      </c>
      <c r="AU79" s="106">
        <f t="shared" si="120"/>
        <v>0</v>
      </c>
      <c r="AV79" s="106">
        <f t="shared" si="121"/>
        <v>0</v>
      </c>
      <c r="AW79" t="b">
        <f t="shared" si="122"/>
        <v>1</v>
      </c>
      <c r="AX79" t="b">
        <f t="shared" si="123"/>
        <v>0</v>
      </c>
    </row>
    <row r="80" spans="1:50" x14ac:dyDescent="0.25">
      <c r="A80" s="1">
        <v>78</v>
      </c>
      <c r="B80" s="10">
        <v>40726</v>
      </c>
      <c r="C80" s="5">
        <v>7</v>
      </c>
      <c r="D80" s="13">
        <v>19</v>
      </c>
      <c r="E80" s="57" t="str">
        <f t="shared" si="79"/>
        <v>Ramipril 10mg (Rx) [1 QD; #30 pills/month]</v>
      </c>
      <c r="F80" t="str">
        <f t="shared" si="80"/>
        <v>Prescription Drugs: Generic</v>
      </c>
      <c r="G80" t="str">
        <f t="shared" si="81"/>
        <v>Rx Deductible+Co-pay</v>
      </c>
      <c r="H80" s="109">
        <f t="shared" si="82"/>
        <v>15.92</v>
      </c>
      <c r="I80" s="109">
        <f t="shared" si="83"/>
        <v>0</v>
      </c>
      <c r="J80" s="109">
        <f t="shared" si="84"/>
        <v>15.92</v>
      </c>
      <c r="K80" s="5" t="str">
        <f t="shared" si="85"/>
        <v>None</v>
      </c>
      <c r="L80">
        <f t="shared" si="86"/>
        <v>0</v>
      </c>
      <c r="M80" s="3">
        <f t="shared" si="87"/>
        <v>0</v>
      </c>
      <c r="N80" s="5" t="str">
        <f t="shared" si="88"/>
        <v>None</v>
      </c>
      <c r="O80">
        <f t="shared" si="89"/>
        <v>6</v>
      </c>
      <c r="P80" s="3">
        <f t="shared" si="90"/>
        <v>0</v>
      </c>
      <c r="Q80" s="8">
        <f t="shared" si="91"/>
        <v>10</v>
      </c>
      <c r="R80" s="16">
        <f t="shared" si="92"/>
        <v>0</v>
      </c>
      <c r="S80" s="8">
        <f t="shared" si="93"/>
        <v>0</v>
      </c>
      <c r="T80" s="8">
        <f t="shared" si="94"/>
        <v>5.92</v>
      </c>
      <c r="U80" s="5" t="b">
        <f t="shared" si="95"/>
        <v>0</v>
      </c>
      <c r="V80" s="8">
        <f t="shared" si="96"/>
        <v>0</v>
      </c>
      <c r="W80" s="8">
        <f t="shared" si="97"/>
        <v>0</v>
      </c>
      <c r="X80" s="5" t="b">
        <f t="shared" si="98"/>
        <v>1</v>
      </c>
      <c r="Y80" s="8">
        <f t="shared" si="99"/>
        <v>0</v>
      </c>
      <c r="Z80" s="8">
        <f t="shared" si="100"/>
        <v>0</v>
      </c>
      <c r="AA80" s="5" t="b">
        <f t="shared" si="101"/>
        <v>0</v>
      </c>
      <c r="AB80" s="8">
        <f t="shared" si="102"/>
        <v>0</v>
      </c>
      <c r="AC80" s="8">
        <f t="shared" si="103"/>
        <v>0</v>
      </c>
      <c r="AD80" s="5" t="b">
        <f t="shared" si="104"/>
        <v>0</v>
      </c>
      <c r="AE80" s="8">
        <f t="shared" si="105"/>
        <v>0</v>
      </c>
      <c r="AF80" s="8">
        <f t="shared" si="106"/>
        <v>0</v>
      </c>
      <c r="AG80" s="5" t="b">
        <f t="shared" si="107"/>
        <v>0</v>
      </c>
      <c r="AH80" s="8">
        <f t="shared" si="108"/>
        <v>0</v>
      </c>
      <c r="AI80" s="8">
        <f t="shared" si="109"/>
        <v>0</v>
      </c>
      <c r="AJ80" s="24">
        <f t="shared" si="110"/>
        <v>0</v>
      </c>
      <c r="AK80" s="8">
        <f t="shared" si="111"/>
        <v>15.92</v>
      </c>
      <c r="AL80" s="8">
        <f t="shared" si="112"/>
        <v>10</v>
      </c>
      <c r="AM80" s="183" t="b">
        <f t="shared" si="113"/>
        <v>1</v>
      </c>
      <c r="AN80" s="8">
        <f t="shared" si="114"/>
        <v>10</v>
      </c>
      <c r="AO80" s="54">
        <f t="shared" si="115"/>
        <v>3319.9999999999995</v>
      </c>
      <c r="AP80" s="8">
        <f t="shared" si="116"/>
        <v>10</v>
      </c>
      <c r="AQ80" s="8">
        <f t="shared" si="124"/>
        <v>5.92</v>
      </c>
      <c r="AR80" s="106">
        <f t="shared" si="117"/>
        <v>0</v>
      </c>
      <c r="AS80" s="106">
        <f t="shared" si="118"/>
        <v>0</v>
      </c>
      <c r="AT80" s="106">
        <f t="shared" si="119"/>
        <v>10</v>
      </c>
      <c r="AU80" s="106">
        <f t="shared" si="120"/>
        <v>0</v>
      </c>
      <c r="AV80" s="106">
        <f t="shared" si="121"/>
        <v>0</v>
      </c>
      <c r="AW80" t="b">
        <f t="shared" si="122"/>
        <v>1</v>
      </c>
      <c r="AX80" t="b">
        <f t="shared" si="123"/>
        <v>1</v>
      </c>
    </row>
    <row r="81" spans="1:50" x14ac:dyDescent="0.25">
      <c r="A81" s="1">
        <v>79</v>
      </c>
      <c r="B81" s="10">
        <v>40726</v>
      </c>
      <c r="C81" s="5">
        <v>7</v>
      </c>
      <c r="D81" s="13">
        <v>33</v>
      </c>
      <c r="E81" s="57" t="str">
        <f t="shared" si="79"/>
        <v>Atorvastatin 20 MG tablet 90 CT</v>
      </c>
      <c r="F81" t="str">
        <f t="shared" si="80"/>
        <v>Prescription Drugs: Generic</v>
      </c>
      <c r="G81" t="str">
        <f t="shared" si="81"/>
        <v>Rx Deductible+Co-pay</v>
      </c>
      <c r="H81" s="109">
        <f t="shared" si="82"/>
        <v>25.88</v>
      </c>
      <c r="I81" s="109">
        <f t="shared" si="83"/>
        <v>0</v>
      </c>
      <c r="J81" s="109">
        <f t="shared" si="84"/>
        <v>25.88</v>
      </c>
      <c r="K81" s="5" t="str">
        <f t="shared" si="85"/>
        <v>None</v>
      </c>
      <c r="L81">
        <f t="shared" si="86"/>
        <v>0</v>
      </c>
      <c r="M81" s="3">
        <f t="shared" si="87"/>
        <v>0</v>
      </c>
      <c r="N81" s="5" t="str">
        <f t="shared" si="88"/>
        <v>None</v>
      </c>
      <c r="O81">
        <f t="shared" si="89"/>
        <v>2</v>
      </c>
      <c r="P81" s="3">
        <f t="shared" si="90"/>
        <v>0</v>
      </c>
      <c r="Q81" s="8">
        <f t="shared" si="91"/>
        <v>10</v>
      </c>
      <c r="R81" s="16">
        <f t="shared" si="92"/>
        <v>0</v>
      </c>
      <c r="S81" s="8">
        <f t="shared" si="93"/>
        <v>0</v>
      </c>
      <c r="T81" s="8">
        <f t="shared" si="94"/>
        <v>15.879999999999999</v>
      </c>
      <c r="U81" s="5" t="b">
        <f t="shared" si="95"/>
        <v>0</v>
      </c>
      <c r="V81" s="8">
        <f t="shared" si="96"/>
        <v>0</v>
      </c>
      <c r="W81" s="8">
        <f t="shared" si="97"/>
        <v>0</v>
      </c>
      <c r="X81" s="5" t="b">
        <f t="shared" si="98"/>
        <v>1</v>
      </c>
      <c r="Y81" s="8">
        <f t="shared" si="99"/>
        <v>0</v>
      </c>
      <c r="Z81" s="8">
        <f t="shared" si="100"/>
        <v>0</v>
      </c>
      <c r="AA81" s="5" t="b">
        <f t="shared" si="101"/>
        <v>0</v>
      </c>
      <c r="AB81" s="8">
        <f t="shared" si="102"/>
        <v>0</v>
      </c>
      <c r="AC81" s="8">
        <f t="shared" si="103"/>
        <v>0</v>
      </c>
      <c r="AD81" s="5" t="b">
        <f t="shared" si="104"/>
        <v>0</v>
      </c>
      <c r="AE81" s="8">
        <f t="shared" si="105"/>
        <v>0</v>
      </c>
      <c r="AF81" s="8">
        <f t="shared" si="106"/>
        <v>0</v>
      </c>
      <c r="AG81" s="5" t="b">
        <f t="shared" si="107"/>
        <v>0</v>
      </c>
      <c r="AH81" s="8">
        <f t="shared" si="108"/>
        <v>0</v>
      </c>
      <c r="AI81" s="8">
        <f t="shared" si="109"/>
        <v>0</v>
      </c>
      <c r="AJ81" s="24">
        <f t="shared" si="110"/>
        <v>0</v>
      </c>
      <c r="AK81" s="8">
        <f t="shared" si="111"/>
        <v>25.88</v>
      </c>
      <c r="AL81" s="8">
        <f t="shared" si="112"/>
        <v>10</v>
      </c>
      <c r="AM81" s="183" t="b">
        <f t="shared" si="113"/>
        <v>1</v>
      </c>
      <c r="AN81" s="8">
        <f t="shared" si="114"/>
        <v>10</v>
      </c>
      <c r="AO81" s="54">
        <f t="shared" si="115"/>
        <v>3309.9999999999995</v>
      </c>
      <c r="AP81" s="8">
        <f t="shared" si="116"/>
        <v>10</v>
      </c>
      <c r="AQ81" s="8">
        <f t="shared" si="124"/>
        <v>15.879999999999999</v>
      </c>
      <c r="AR81" s="106">
        <f t="shared" si="117"/>
        <v>0</v>
      </c>
      <c r="AS81" s="106">
        <f t="shared" si="118"/>
        <v>0</v>
      </c>
      <c r="AT81" s="106">
        <f t="shared" si="119"/>
        <v>10</v>
      </c>
      <c r="AU81" s="106">
        <f t="shared" si="120"/>
        <v>0</v>
      </c>
      <c r="AV81" s="106">
        <f t="shared" si="121"/>
        <v>0</v>
      </c>
      <c r="AW81" t="b">
        <f t="shared" si="122"/>
        <v>1</v>
      </c>
      <c r="AX81" t="b">
        <f t="shared" si="123"/>
        <v>1</v>
      </c>
    </row>
    <row r="82" spans="1:50" x14ac:dyDescent="0.25">
      <c r="A82" s="1">
        <v>80</v>
      </c>
      <c r="B82" s="10">
        <v>40742</v>
      </c>
      <c r="C82" s="5">
        <v>7</v>
      </c>
      <c r="D82" s="13">
        <v>17</v>
      </c>
      <c r="E82" s="57" t="str">
        <f t="shared" si="79"/>
        <v>Insulin glargine 100 unit/ml injectable solution (Rx - 10ml vial)  [20 units QD; expires 28 days after first use]</v>
      </c>
      <c r="F82" t="str">
        <f t="shared" si="80"/>
        <v>Prescription Drugs: Branded</v>
      </c>
      <c r="G82" t="str">
        <f t="shared" si="81"/>
        <v>Rx Deductible+Co-pay</v>
      </c>
      <c r="H82" s="109">
        <f t="shared" si="82"/>
        <v>275.51</v>
      </c>
      <c r="I82" s="109">
        <f t="shared" si="83"/>
        <v>0</v>
      </c>
      <c r="J82" s="109">
        <f t="shared" si="84"/>
        <v>275.51</v>
      </c>
      <c r="K82" s="5" t="str">
        <f t="shared" si="85"/>
        <v>None</v>
      </c>
      <c r="L82">
        <f t="shared" si="86"/>
        <v>0</v>
      </c>
      <c r="M82" s="3">
        <f t="shared" si="87"/>
        <v>0</v>
      </c>
      <c r="N82" s="5" t="str">
        <f t="shared" si="88"/>
        <v>None</v>
      </c>
      <c r="O82">
        <f t="shared" si="89"/>
        <v>7</v>
      </c>
      <c r="P82" s="3">
        <f t="shared" si="90"/>
        <v>0</v>
      </c>
      <c r="Q82" s="8">
        <f t="shared" si="91"/>
        <v>30</v>
      </c>
      <c r="R82" s="16">
        <f t="shared" si="92"/>
        <v>0</v>
      </c>
      <c r="S82" s="8">
        <f t="shared" si="93"/>
        <v>0</v>
      </c>
      <c r="T82" s="8">
        <f t="shared" si="94"/>
        <v>245.51</v>
      </c>
      <c r="U82" s="5" t="b">
        <f t="shared" si="95"/>
        <v>0</v>
      </c>
      <c r="V82" s="8">
        <f t="shared" si="96"/>
        <v>0</v>
      </c>
      <c r="W82" s="8">
        <f t="shared" si="97"/>
        <v>0</v>
      </c>
      <c r="X82" s="5" t="b">
        <f t="shared" si="98"/>
        <v>1</v>
      </c>
      <c r="Y82" s="8">
        <f t="shared" si="99"/>
        <v>0</v>
      </c>
      <c r="Z82" s="8">
        <f t="shared" si="100"/>
        <v>0</v>
      </c>
      <c r="AA82" s="5" t="b">
        <f t="shared" si="101"/>
        <v>0</v>
      </c>
      <c r="AB82" s="8">
        <f t="shared" si="102"/>
        <v>0</v>
      </c>
      <c r="AC82" s="8">
        <f t="shared" si="103"/>
        <v>0</v>
      </c>
      <c r="AD82" s="5" t="b">
        <f t="shared" si="104"/>
        <v>0</v>
      </c>
      <c r="AE82" s="8">
        <f t="shared" si="105"/>
        <v>0</v>
      </c>
      <c r="AF82" s="8">
        <f t="shared" si="106"/>
        <v>0</v>
      </c>
      <c r="AG82" s="5" t="b">
        <f t="shared" si="107"/>
        <v>0</v>
      </c>
      <c r="AH82" s="8">
        <f t="shared" si="108"/>
        <v>0</v>
      </c>
      <c r="AI82" s="8">
        <f t="shared" si="109"/>
        <v>0</v>
      </c>
      <c r="AJ82" s="24">
        <f t="shared" si="110"/>
        <v>0</v>
      </c>
      <c r="AK82" s="8">
        <f t="shared" si="111"/>
        <v>275.51</v>
      </c>
      <c r="AL82" s="8">
        <f t="shared" si="112"/>
        <v>30</v>
      </c>
      <c r="AM82" s="183" t="b">
        <f t="shared" si="113"/>
        <v>1</v>
      </c>
      <c r="AN82" s="8">
        <f t="shared" si="114"/>
        <v>30</v>
      </c>
      <c r="AO82" s="54">
        <f t="shared" si="115"/>
        <v>3299.9999999999995</v>
      </c>
      <c r="AP82" s="8">
        <f t="shared" si="116"/>
        <v>30</v>
      </c>
      <c r="AQ82" s="8">
        <f t="shared" si="124"/>
        <v>245.51</v>
      </c>
      <c r="AR82" s="106">
        <f t="shared" si="117"/>
        <v>0</v>
      </c>
      <c r="AS82" s="106">
        <f t="shared" si="118"/>
        <v>0</v>
      </c>
      <c r="AT82" s="106">
        <f t="shared" si="119"/>
        <v>30</v>
      </c>
      <c r="AU82" s="106">
        <f t="shared" si="120"/>
        <v>0</v>
      </c>
      <c r="AV82" s="106">
        <f t="shared" si="121"/>
        <v>0</v>
      </c>
      <c r="AW82" t="b">
        <f t="shared" si="122"/>
        <v>1</v>
      </c>
      <c r="AX82" t="b">
        <f t="shared" si="123"/>
        <v>1</v>
      </c>
    </row>
    <row r="83" spans="1:50" x14ac:dyDescent="0.25">
      <c r="A83" s="1">
        <v>81</v>
      </c>
      <c r="B83" s="10">
        <v>40746</v>
      </c>
      <c r="C83" s="5">
        <v>7</v>
      </c>
      <c r="D83" s="13">
        <v>4</v>
      </c>
      <c r="E83" s="57" t="str">
        <f t="shared" si="79"/>
        <v xml:space="preserve">OneTouch Ultra Blue Test Strips (Rx - box of 100) [usage = 2 strips/day; 60 per month] </v>
      </c>
      <c r="F83" t="str">
        <f t="shared" si="80"/>
        <v>Medical Supplies</v>
      </c>
      <c r="G83" t="str">
        <f t="shared" si="81"/>
        <v>Plan Deductible Only</v>
      </c>
      <c r="H83" s="109">
        <f t="shared" si="82"/>
        <v>125.26</v>
      </c>
      <c r="I83" s="109">
        <f t="shared" si="83"/>
        <v>0</v>
      </c>
      <c r="J83" s="109">
        <f t="shared" si="84"/>
        <v>125.26</v>
      </c>
      <c r="K83" s="5" t="str">
        <f t="shared" si="85"/>
        <v>None</v>
      </c>
      <c r="L83">
        <f t="shared" si="86"/>
        <v>0</v>
      </c>
      <c r="M83" s="3">
        <f t="shared" si="87"/>
        <v>0</v>
      </c>
      <c r="N83" s="5" t="str">
        <f t="shared" si="88"/>
        <v>None</v>
      </c>
      <c r="O83">
        <f t="shared" si="89"/>
        <v>4</v>
      </c>
      <c r="P83" s="3">
        <f t="shared" si="90"/>
        <v>0</v>
      </c>
      <c r="Q83" s="8">
        <f t="shared" si="91"/>
        <v>0</v>
      </c>
      <c r="R83" s="16">
        <f t="shared" si="92"/>
        <v>0</v>
      </c>
      <c r="S83" s="8">
        <f t="shared" si="93"/>
        <v>0</v>
      </c>
      <c r="T83" s="8">
        <f t="shared" si="94"/>
        <v>125.26</v>
      </c>
      <c r="U83" s="5" t="b">
        <f t="shared" si="95"/>
        <v>1</v>
      </c>
      <c r="V83" s="8">
        <f t="shared" si="96"/>
        <v>0</v>
      </c>
      <c r="W83" s="8">
        <f t="shared" si="97"/>
        <v>0</v>
      </c>
      <c r="X83" s="5" t="b">
        <f t="shared" si="98"/>
        <v>0</v>
      </c>
      <c r="Y83" s="8">
        <f t="shared" si="99"/>
        <v>0</v>
      </c>
      <c r="Z83" s="8">
        <f t="shared" si="100"/>
        <v>0</v>
      </c>
      <c r="AA83" s="5" t="b">
        <f t="shared" si="101"/>
        <v>0</v>
      </c>
      <c r="AB83" s="8">
        <f t="shared" si="102"/>
        <v>0</v>
      </c>
      <c r="AC83" s="8">
        <f t="shared" si="103"/>
        <v>0</v>
      </c>
      <c r="AD83" s="5" t="b">
        <f t="shared" si="104"/>
        <v>0</v>
      </c>
      <c r="AE83" s="8">
        <f t="shared" si="105"/>
        <v>0</v>
      </c>
      <c r="AF83" s="8">
        <f t="shared" si="106"/>
        <v>0</v>
      </c>
      <c r="AG83" s="5" t="b">
        <f t="shared" si="107"/>
        <v>0</v>
      </c>
      <c r="AH83" s="8">
        <f t="shared" si="108"/>
        <v>0</v>
      </c>
      <c r="AI83" s="8">
        <f t="shared" si="109"/>
        <v>0</v>
      </c>
      <c r="AJ83" s="24">
        <f t="shared" si="110"/>
        <v>0</v>
      </c>
      <c r="AK83" s="8">
        <f t="shared" si="111"/>
        <v>125.26</v>
      </c>
      <c r="AL83" s="8">
        <f t="shared" si="112"/>
        <v>0</v>
      </c>
      <c r="AM83" s="183" t="b">
        <f t="shared" si="113"/>
        <v>1</v>
      </c>
      <c r="AN83" s="8">
        <f t="shared" si="114"/>
        <v>0</v>
      </c>
      <c r="AO83" s="54">
        <f t="shared" si="115"/>
        <v>3269.9999999999995</v>
      </c>
      <c r="AP83" s="8">
        <f t="shared" si="116"/>
        <v>0</v>
      </c>
      <c r="AQ83" s="8">
        <f t="shared" si="124"/>
        <v>125.26</v>
      </c>
      <c r="AR83" s="106">
        <f t="shared" si="117"/>
        <v>0</v>
      </c>
      <c r="AS83" s="106">
        <f t="shared" si="118"/>
        <v>0</v>
      </c>
      <c r="AT83" s="106">
        <f t="shared" si="119"/>
        <v>0</v>
      </c>
      <c r="AU83" s="106">
        <f t="shared" si="120"/>
        <v>0</v>
      </c>
      <c r="AV83" s="106">
        <f t="shared" si="121"/>
        <v>0</v>
      </c>
      <c r="AW83" t="b">
        <f t="shared" si="122"/>
        <v>1</v>
      </c>
      <c r="AX83" t="b">
        <f t="shared" si="123"/>
        <v>1</v>
      </c>
    </row>
    <row r="84" spans="1:50" x14ac:dyDescent="0.25">
      <c r="A84" s="1">
        <v>82</v>
      </c>
      <c r="B84" s="10">
        <v>40756</v>
      </c>
      <c r="C84" s="5">
        <v>8</v>
      </c>
      <c r="D84" s="13">
        <v>25</v>
      </c>
      <c r="E84" s="57" t="str">
        <f t="shared" si="79"/>
        <v>Alcohol swabs (OTC - box of 100)  [usage = 3 wipes/day; 90 wipes/month]</v>
      </c>
      <c r="F84" t="str">
        <f t="shared" si="80"/>
        <v>Over-the-counter Drugs</v>
      </c>
      <c r="G84" t="str">
        <f t="shared" si="81"/>
        <v>Not Covered</v>
      </c>
      <c r="H84" s="109">
        <f t="shared" si="82"/>
        <v>2.6074999999999999</v>
      </c>
      <c r="I84" s="109">
        <f t="shared" si="83"/>
        <v>2.6074999999999999</v>
      </c>
      <c r="J84" s="109">
        <f t="shared" si="84"/>
        <v>0</v>
      </c>
      <c r="K84" s="5" t="str">
        <f t="shared" si="85"/>
        <v>None</v>
      </c>
      <c r="L84">
        <f t="shared" si="86"/>
        <v>0</v>
      </c>
      <c r="M84" s="3">
        <f t="shared" si="87"/>
        <v>0</v>
      </c>
      <c r="N84" s="5" t="str">
        <f t="shared" si="88"/>
        <v>None</v>
      </c>
      <c r="O84">
        <f t="shared" si="89"/>
        <v>7</v>
      </c>
      <c r="P84" s="3">
        <f t="shared" si="90"/>
        <v>0</v>
      </c>
      <c r="Q84" s="8">
        <f t="shared" si="91"/>
        <v>0</v>
      </c>
      <c r="R84" s="16">
        <f t="shared" si="92"/>
        <v>0</v>
      </c>
      <c r="S84" s="8">
        <f t="shared" si="93"/>
        <v>0</v>
      </c>
      <c r="T84" s="8">
        <f t="shared" si="94"/>
        <v>0</v>
      </c>
      <c r="U84" s="5" t="b">
        <f t="shared" si="95"/>
        <v>0</v>
      </c>
      <c r="V84" s="8">
        <f t="shared" si="96"/>
        <v>0</v>
      </c>
      <c r="W84" s="8">
        <f t="shared" si="97"/>
        <v>0</v>
      </c>
      <c r="X84" s="5" t="b">
        <f t="shared" si="98"/>
        <v>0</v>
      </c>
      <c r="Y84" s="8">
        <f t="shared" si="99"/>
        <v>0</v>
      </c>
      <c r="Z84" s="8">
        <f t="shared" si="100"/>
        <v>0</v>
      </c>
      <c r="AA84" s="5" t="b">
        <f t="shared" si="101"/>
        <v>0</v>
      </c>
      <c r="AB84" s="8">
        <f t="shared" si="102"/>
        <v>0</v>
      </c>
      <c r="AC84" s="8">
        <f t="shared" si="103"/>
        <v>0</v>
      </c>
      <c r="AD84" s="5" t="b">
        <f t="shared" si="104"/>
        <v>0</v>
      </c>
      <c r="AE84" s="8">
        <f t="shared" si="105"/>
        <v>0</v>
      </c>
      <c r="AF84" s="8">
        <f t="shared" si="106"/>
        <v>0</v>
      </c>
      <c r="AG84" s="5" t="b">
        <f t="shared" si="107"/>
        <v>0</v>
      </c>
      <c r="AH84" s="8">
        <f t="shared" si="108"/>
        <v>0</v>
      </c>
      <c r="AI84" s="8">
        <f t="shared" si="109"/>
        <v>0</v>
      </c>
      <c r="AJ84" s="24">
        <f t="shared" si="110"/>
        <v>0</v>
      </c>
      <c r="AK84" s="8">
        <f t="shared" si="111"/>
        <v>0</v>
      </c>
      <c r="AL84" s="8">
        <f t="shared" si="112"/>
        <v>0</v>
      </c>
      <c r="AM84" s="183" t="b">
        <f t="shared" si="113"/>
        <v>0</v>
      </c>
      <c r="AN84" s="8">
        <f t="shared" si="114"/>
        <v>0</v>
      </c>
      <c r="AO84" s="54">
        <f t="shared" si="115"/>
        <v>0</v>
      </c>
      <c r="AP84" s="8">
        <f t="shared" si="116"/>
        <v>0</v>
      </c>
      <c r="AQ84" s="8">
        <f t="shared" si="124"/>
        <v>0</v>
      </c>
      <c r="AR84" s="106">
        <f t="shared" si="117"/>
        <v>2.6074999999999999</v>
      </c>
      <c r="AS84" s="106">
        <f t="shared" si="118"/>
        <v>0</v>
      </c>
      <c r="AT84" s="106">
        <f t="shared" si="119"/>
        <v>0</v>
      </c>
      <c r="AU84" s="106">
        <f t="shared" si="120"/>
        <v>0</v>
      </c>
      <c r="AV84" s="106">
        <f t="shared" si="121"/>
        <v>0</v>
      </c>
      <c r="AW84" t="b">
        <f t="shared" si="122"/>
        <v>1</v>
      </c>
      <c r="AX84" t="b">
        <f t="shared" si="123"/>
        <v>1</v>
      </c>
    </row>
    <row r="85" spans="1:50" x14ac:dyDescent="0.25">
      <c r="A85" s="1">
        <v>83</v>
      </c>
      <c r="B85" s="10">
        <v>40756</v>
      </c>
      <c r="C85" s="5">
        <v>8</v>
      </c>
      <c r="D85" s="13">
        <v>14</v>
      </c>
      <c r="E85" s="57" t="str">
        <f t="shared" si="79"/>
        <v>BD Ultrafine Insulin Syringes / 30G/ 0.5cc  [usage = 30 syringes per month]</v>
      </c>
      <c r="F85" t="str">
        <f t="shared" si="80"/>
        <v>Medical Supplies</v>
      </c>
      <c r="G85" t="str">
        <f t="shared" si="81"/>
        <v>Plan Deductible Only</v>
      </c>
      <c r="H85" s="109">
        <f t="shared" si="82"/>
        <v>42.66</v>
      </c>
      <c r="I85" s="109">
        <f t="shared" si="83"/>
        <v>0</v>
      </c>
      <c r="J85" s="109">
        <f t="shared" si="84"/>
        <v>42.66</v>
      </c>
      <c r="K85" s="5" t="str">
        <f t="shared" si="85"/>
        <v>None</v>
      </c>
      <c r="L85">
        <f t="shared" si="86"/>
        <v>0</v>
      </c>
      <c r="M85" s="3">
        <f t="shared" si="87"/>
        <v>0</v>
      </c>
      <c r="N85" s="5" t="str">
        <f t="shared" si="88"/>
        <v>None</v>
      </c>
      <c r="O85">
        <f t="shared" si="89"/>
        <v>7</v>
      </c>
      <c r="P85" s="3">
        <f t="shared" si="90"/>
        <v>0</v>
      </c>
      <c r="Q85" s="8">
        <f t="shared" si="91"/>
        <v>0</v>
      </c>
      <c r="R85" s="16">
        <f t="shared" si="92"/>
        <v>0</v>
      </c>
      <c r="S85" s="8">
        <f t="shared" si="93"/>
        <v>0</v>
      </c>
      <c r="T85" s="8">
        <f t="shared" si="94"/>
        <v>42.66</v>
      </c>
      <c r="U85" s="5" t="b">
        <f t="shared" si="95"/>
        <v>1</v>
      </c>
      <c r="V85" s="8">
        <f t="shared" si="96"/>
        <v>0</v>
      </c>
      <c r="W85" s="8">
        <f t="shared" si="97"/>
        <v>0</v>
      </c>
      <c r="X85" s="5" t="b">
        <f t="shared" si="98"/>
        <v>0</v>
      </c>
      <c r="Y85" s="8">
        <f t="shared" si="99"/>
        <v>0</v>
      </c>
      <c r="Z85" s="8">
        <f t="shared" si="100"/>
        <v>0</v>
      </c>
      <c r="AA85" s="5" t="b">
        <f t="shared" si="101"/>
        <v>0</v>
      </c>
      <c r="AB85" s="8">
        <f t="shared" si="102"/>
        <v>0</v>
      </c>
      <c r="AC85" s="8">
        <f t="shared" si="103"/>
        <v>0</v>
      </c>
      <c r="AD85" s="5" t="b">
        <f t="shared" si="104"/>
        <v>0</v>
      </c>
      <c r="AE85" s="8">
        <f t="shared" si="105"/>
        <v>0</v>
      </c>
      <c r="AF85" s="8">
        <f t="shared" si="106"/>
        <v>0</v>
      </c>
      <c r="AG85" s="5" t="b">
        <f t="shared" si="107"/>
        <v>0</v>
      </c>
      <c r="AH85" s="8">
        <f t="shared" si="108"/>
        <v>0</v>
      </c>
      <c r="AI85" s="8">
        <f t="shared" si="109"/>
        <v>0</v>
      </c>
      <c r="AJ85" s="24">
        <f t="shared" si="110"/>
        <v>0</v>
      </c>
      <c r="AK85" s="8">
        <f t="shared" si="111"/>
        <v>42.66</v>
      </c>
      <c r="AL85" s="8">
        <f t="shared" si="112"/>
        <v>0</v>
      </c>
      <c r="AM85" s="183" t="b">
        <f t="shared" si="113"/>
        <v>1</v>
      </c>
      <c r="AN85" s="8">
        <f t="shared" si="114"/>
        <v>0</v>
      </c>
      <c r="AO85" s="54">
        <f t="shared" si="115"/>
        <v>3269.9999999999995</v>
      </c>
      <c r="AP85" s="8">
        <f t="shared" si="116"/>
        <v>0</v>
      </c>
      <c r="AQ85" s="8">
        <f t="shared" si="124"/>
        <v>42.66</v>
      </c>
      <c r="AR85" s="106">
        <f t="shared" si="117"/>
        <v>0</v>
      </c>
      <c r="AS85" s="106">
        <f t="shared" si="118"/>
        <v>0</v>
      </c>
      <c r="AT85" s="106">
        <f t="shared" si="119"/>
        <v>0</v>
      </c>
      <c r="AU85" s="106">
        <f t="shared" si="120"/>
        <v>0</v>
      </c>
      <c r="AV85" s="106">
        <f t="shared" si="121"/>
        <v>0</v>
      </c>
      <c r="AW85" t="b">
        <f t="shared" si="122"/>
        <v>1</v>
      </c>
      <c r="AX85" t="b">
        <f t="shared" si="123"/>
        <v>1</v>
      </c>
    </row>
    <row r="86" spans="1:50" x14ac:dyDescent="0.25">
      <c r="A86" s="1">
        <v>84</v>
      </c>
      <c r="B86" s="10">
        <v>40756</v>
      </c>
      <c r="C86" s="5">
        <v>8</v>
      </c>
      <c r="D86" s="13">
        <v>32</v>
      </c>
      <c r="E86" s="57" t="str">
        <f t="shared" si="79"/>
        <v>METFORMIN HCL 850 MG TABLET</v>
      </c>
      <c r="F86" t="str">
        <f t="shared" si="80"/>
        <v>Prescription Drugs: Generic</v>
      </c>
      <c r="G86" t="str">
        <f t="shared" si="81"/>
        <v>Rx Deductible+Co-pay</v>
      </c>
      <c r="H86" s="109">
        <f t="shared" si="82"/>
        <v>9.19</v>
      </c>
      <c r="I86" s="109">
        <f t="shared" si="83"/>
        <v>0</v>
      </c>
      <c r="J86" s="109">
        <f t="shared" si="84"/>
        <v>9.19</v>
      </c>
      <c r="K86" s="5" t="str">
        <f t="shared" si="85"/>
        <v>None</v>
      </c>
      <c r="L86">
        <f t="shared" si="86"/>
        <v>0</v>
      </c>
      <c r="M86" s="3">
        <f t="shared" si="87"/>
        <v>0</v>
      </c>
      <c r="N86" s="5" t="str">
        <f t="shared" si="88"/>
        <v>None</v>
      </c>
      <c r="O86">
        <f t="shared" si="89"/>
        <v>7</v>
      </c>
      <c r="P86" s="3">
        <f t="shared" si="90"/>
        <v>0</v>
      </c>
      <c r="Q86" s="8">
        <f t="shared" si="91"/>
        <v>10</v>
      </c>
      <c r="R86" s="16">
        <f t="shared" si="92"/>
        <v>0</v>
      </c>
      <c r="S86" s="8">
        <f t="shared" si="93"/>
        <v>0</v>
      </c>
      <c r="T86" s="8">
        <f t="shared" si="94"/>
        <v>0</v>
      </c>
      <c r="U86" s="5" t="b">
        <f t="shared" si="95"/>
        <v>0</v>
      </c>
      <c r="V86" s="8">
        <f t="shared" si="96"/>
        <v>0</v>
      </c>
      <c r="W86" s="8">
        <f t="shared" si="97"/>
        <v>0</v>
      </c>
      <c r="X86" s="5" t="b">
        <f t="shared" si="98"/>
        <v>1</v>
      </c>
      <c r="Y86" s="8">
        <f t="shared" si="99"/>
        <v>0</v>
      </c>
      <c r="Z86" s="8">
        <f t="shared" si="100"/>
        <v>0</v>
      </c>
      <c r="AA86" s="5" t="b">
        <f t="shared" si="101"/>
        <v>0</v>
      </c>
      <c r="AB86" s="8">
        <f t="shared" si="102"/>
        <v>0</v>
      </c>
      <c r="AC86" s="8">
        <f t="shared" si="103"/>
        <v>0</v>
      </c>
      <c r="AD86" s="5" t="b">
        <f t="shared" si="104"/>
        <v>0</v>
      </c>
      <c r="AE86" s="8">
        <f t="shared" si="105"/>
        <v>0</v>
      </c>
      <c r="AF86" s="8">
        <f t="shared" si="106"/>
        <v>0</v>
      </c>
      <c r="AG86" s="5" t="b">
        <f t="shared" si="107"/>
        <v>0</v>
      </c>
      <c r="AH86" s="8">
        <f t="shared" si="108"/>
        <v>0</v>
      </c>
      <c r="AI86" s="8">
        <f t="shared" si="109"/>
        <v>0</v>
      </c>
      <c r="AJ86" s="24">
        <f t="shared" si="110"/>
        <v>0</v>
      </c>
      <c r="AK86" s="8">
        <f t="shared" si="111"/>
        <v>9.19</v>
      </c>
      <c r="AL86" s="8">
        <f t="shared" si="112"/>
        <v>10</v>
      </c>
      <c r="AM86" s="183" t="b">
        <f t="shared" si="113"/>
        <v>1</v>
      </c>
      <c r="AN86" s="8">
        <f t="shared" si="114"/>
        <v>10</v>
      </c>
      <c r="AO86" s="54">
        <f t="shared" si="115"/>
        <v>3269.9999999999995</v>
      </c>
      <c r="AP86" s="8">
        <f t="shared" si="116"/>
        <v>10</v>
      </c>
      <c r="AQ86" s="8">
        <f t="shared" si="124"/>
        <v>0</v>
      </c>
      <c r="AR86" s="106">
        <f t="shared" si="117"/>
        <v>0</v>
      </c>
      <c r="AS86" s="106">
        <f t="shared" si="118"/>
        <v>0</v>
      </c>
      <c r="AT86" s="106">
        <f t="shared" si="119"/>
        <v>10</v>
      </c>
      <c r="AU86" s="106">
        <f t="shared" si="120"/>
        <v>0</v>
      </c>
      <c r="AV86" s="106">
        <f t="shared" si="121"/>
        <v>0</v>
      </c>
      <c r="AW86" t="b">
        <f t="shared" si="122"/>
        <v>1</v>
      </c>
      <c r="AX86" t="b">
        <f t="shared" si="123"/>
        <v>0</v>
      </c>
    </row>
    <row r="87" spans="1:50" x14ac:dyDescent="0.25">
      <c r="A87" s="1">
        <v>85</v>
      </c>
      <c r="B87" s="10">
        <v>40756</v>
      </c>
      <c r="C87" s="5">
        <v>8</v>
      </c>
      <c r="D87" s="13">
        <v>19</v>
      </c>
      <c r="E87" s="57" t="str">
        <f t="shared" si="79"/>
        <v>Ramipril 10mg (Rx) [1 QD; #30 pills/month]</v>
      </c>
      <c r="F87" t="str">
        <f t="shared" si="80"/>
        <v>Prescription Drugs: Generic</v>
      </c>
      <c r="G87" t="str">
        <f t="shared" si="81"/>
        <v>Rx Deductible+Co-pay</v>
      </c>
      <c r="H87" s="109">
        <f t="shared" si="82"/>
        <v>15.92</v>
      </c>
      <c r="I87" s="109">
        <f t="shared" si="83"/>
        <v>0</v>
      </c>
      <c r="J87" s="109">
        <f t="shared" si="84"/>
        <v>15.92</v>
      </c>
      <c r="K87" s="5" t="str">
        <f t="shared" si="85"/>
        <v>None</v>
      </c>
      <c r="L87">
        <f t="shared" si="86"/>
        <v>0</v>
      </c>
      <c r="M87" s="3">
        <f t="shared" si="87"/>
        <v>0</v>
      </c>
      <c r="N87" s="5" t="str">
        <f t="shared" si="88"/>
        <v>None</v>
      </c>
      <c r="O87">
        <f t="shared" si="89"/>
        <v>7</v>
      </c>
      <c r="P87" s="3">
        <f t="shared" si="90"/>
        <v>0</v>
      </c>
      <c r="Q87" s="8">
        <f t="shared" si="91"/>
        <v>10</v>
      </c>
      <c r="R87" s="16">
        <f t="shared" si="92"/>
        <v>0</v>
      </c>
      <c r="S87" s="8">
        <f t="shared" si="93"/>
        <v>0</v>
      </c>
      <c r="T87" s="8">
        <f t="shared" si="94"/>
        <v>5.92</v>
      </c>
      <c r="U87" s="5" t="b">
        <f t="shared" si="95"/>
        <v>0</v>
      </c>
      <c r="V87" s="8">
        <f t="shared" si="96"/>
        <v>0</v>
      </c>
      <c r="W87" s="8">
        <f t="shared" si="97"/>
        <v>0</v>
      </c>
      <c r="X87" s="5" t="b">
        <f t="shared" si="98"/>
        <v>1</v>
      </c>
      <c r="Y87" s="8">
        <f t="shared" si="99"/>
        <v>0</v>
      </c>
      <c r="Z87" s="8">
        <f t="shared" si="100"/>
        <v>0</v>
      </c>
      <c r="AA87" s="5" t="b">
        <f t="shared" si="101"/>
        <v>0</v>
      </c>
      <c r="AB87" s="8">
        <f t="shared" si="102"/>
        <v>0</v>
      </c>
      <c r="AC87" s="8">
        <f t="shared" si="103"/>
        <v>0</v>
      </c>
      <c r="AD87" s="5" t="b">
        <f t="shared" si="104"/>
        <v>0</v>
      </c>
      <c r="AE87" s="8">
        <f t="shared" si="105"/>
        <v>0</v>
      </c>
      <c r="AF87" s="8">
        <f t="shared" si="106"/>
        <v>0</v>
      </c>
      <c r="AG87" s="5" t="b">
        <f t="shared" si="107"/>
        <v>0</v>
      </c>
      <c r="AH87" s="8">
        <f t="shared" si="108"/>
        <v>0</v>
      </c>
      <c r="AI87" s="8">
        <f t="shared" si="109"/>
        <v>0</v>
      </c>
      <c r="AJ87" s="24">
        <f t="shared" si="110"/>
        <v>0</v>
      </c>
      <c r="AK87" s="8">
        <f t="shared" si="111"/>
        <v>15.92</v>
      </c>
      <c r="AL87" s="8">
        <f t="shared" si="112"/>
        <v>10</v>
      </c>
      <c r="AM87" s="183" t="b">
        <f t="shared" si="113"/>
        <v>1</v>
      </c>
      <c r="AN87" s="8">
        <f t="shared" si="114"/>
        <v>10</v>
      </c>
      <c r="AO87" s="54">
        <f t="shared" si="115"/>
        <v>3259.9999999999995</v>
      </c>
      <c r="AP87" s="8">
        <f t="shared" si="116"/>
        <v>10</v>
      </c>
      <c r="AQ87" s="8">
        <f t="shared" si="124"/>
        <v>5.92</v>
      </c>
      <c r="AR87" s="106">
        <f t="shared" si="117"/>
        <v>0</v>
      </c>
      <c r="AS87" s="106">
        <f t="shared" si="118"/>
        <v>0</v>
      </c>
      <c r="AT87" s="106">
        <f t="shared" si="119"/>
        <v>10</v>
      </c>
      <c r="AU87" s="106">
        <f t="shared" si="120"/>
        <v>0</v>
      </c>
      <c r="AV87" s="106">
        <f t="shared" si="121"/>
        <v>0</v>
      </c>
      <c r="AW87" t="b">
        <f t="shared" si="122"/>
        <v>1</v>
      </c>
      <c r="AX87" t="b">
        <f t="shared" si="123"/>
        <v>1</v>
      </c>
    </row>
    <row r="88" spans="1:50" x14ac:dyDescent="0.25">
      <c r="A88" s="1">
        <v>86</v>
      </c>
      <c r="B88" s="10">
        <v>40770</v>
      </c>
      <c r="C88" s="5">
        <v>8</v>
      </c>
      <c r="D88" s="13">
        <v>17</v>
      </c>
      <c r="E88" s="57" t="str">
        <f t="shared" si="79"/>
        <v>Insulin glargine 100 unit/ml injectable solution (Rx - 10ml vial)  [20 units QD; expires 28 days after first use]</v>
      </c>
      <c r="F88" t="str">
        <f t="shared" si="80"/>
        <v>Prescription Drugs: Branded</v>
      </c>
      <c r="G88" t="str">
        <f t="shared" si="81"/>
        <v>Rx Deductible+Co-pay</v>
      </c>
      <c r="H88" s="109">
        <f t="shared" si="82"/>
        <v>275.51</v>
      </c>
      <c r="I88" s="109">
        <f t="shared" si="83"/>
        <v>0</v>
      </c>
      <c r="J88" s="109">
        <f t="shared" si="84"/>
        <v>275.51</v>
      </c>
      <c r="K88" s="5" t="str">
        <f t="shared" si="85"/>
        <v>None</v>
      </c>
      <c r="L88">
        <f t="shared" si="86"/>
        <v>0</v>
      </c>
      <c r="M88" s="3">
        <f t="shared" si="87"/>
        <v>0</v>
      </c>
      <c r="N88" s="5" t="str">
        <f t="shared" si="88"/>
        <v>None</v>
      </c>
      <c r="O88">
        <f t="shared" si="89"/>
        <v>8</v>
      </c>
      <c r="P88" s="3">
        <f t="shared" si="90"/>
        <v>0</v>
      </c>
      <c r="Q88" s="8">
        <f t="shared" si="91"/>
        <v>30</v>
      </c>
      <c r="R88" s="16">
        <f t="shared" si="92"/>
        <v>0</v>
      </c>
      <c r="S88" s="8">
        <f t="shared" si="93"/>
        <v>0</v>
      </c>
      <c r="T88" s="8">
        <f t="shared" si="94"/>
        <v>245.51</v>
      </c>
      <c r="U88" s="5" t="b">
        <f t="shared" si="95"/>
        <v>0</v>
      </c>
      <c r="V88" s="8">
        <f t="shared" si="96"/>
        <v>0</v>
      </c>
      <c r="W88" s="8">
        <f t="shared" si="97"/>
        <v>0</v>
      </c>
      <c r="X88" s="5" t="b">
        <f t="shared" si="98"/>
        <v>1</v>
      </c>
      <c r="Y88" s="8">
        <f t="shared" si="99"/>
        <v>0</v>
      </c>
      <c r="Z88" s="8">
        <f t="shared" si="100"/>
        <v>0</v>
      </c>
      <c r="AA88" s="5" t="b">
        <f t="shared" si="101"/>
        <v>0</v>
      </c>
      <c r="AB88" s="8">
        <f t="shared" si="102"/>
        <v>0</v>
      </c>
      <c r="AC88" s="8">
        <f t="shared" si="103"/>
        <v>0</v>
      </c>
      <c r="AD88" s="5" t="b">
        <f t="shared" si="104"/>
        <v>0</v>
      </c>
      <c r="AE88" s="8">
        <f t="shared" si="105"/>
        <v>0</v>
      </c>
      <c r="AF88" s="8">
        <f t="shared" si="106"/>
        <v>0</v>
      </c>
      <c r="AG88" s="5" t="b">
        <f t="shared" si="107"/>
        <v>0</v>
      </c>
      <c r="AH88" s="8">
        <f t="shared" si="108"/>
        <v>0</v>
      </c>
      <c r="AI88" s="8">
        <f t="shared" si="109"/>
        <v>0</v>
      </c>
      <c r="AJ88" s="24">
        <f t="shared" si="110"/>
        <v>0</v>
      </c>
      <c r="AK88" s="8">
        <f t="shared" si="111"/>
        <v>275.51</v>
      </c>
      <c r="AL88" s="8">
        <f t="shared" si="112"/>
        <v>30</v>
      </c>
      <c r="AM88" s="183" t="b">
        <f t="shared" si="113"/>
        <v>1</v>
      </c>
      <c r="AN88" s="8">
        <f t="shared" si="114"/>
        <v>30</v>
      </c>
      <c r="AO88" s="54">
        <f t="shared" si="115"/>
        <v>3249.9999999999995</v>
      </c>
      <c r="AP88" s="8">
        <f t="shared" si="116"/>
        <v>30</v>
      </c>
      <c r="AQ88" s="8">
        <f t="shared" si="124"/>
        <v>245.51</v>
      </c>
      <c r="AR88" s="106">
        <f t="shared" si="117"/>
        <v>0</v>
      </c>
      <c r="AS88" s="106">
        <f t="shared" si="118"/>
        <v>0</v>
      </c>
      <c r="AT88" s="106">
        <f t="shared" si="119"/>
        <v>30</v>
      </c>
      <c r="AU88" s="106">
        <f t="shared" si="120"/>
        <v>0</v>
      </c>
      <c r="AV88" s="106">
        <f t="shared" si="121"/>
        <v>0</v>
      </c>
      <c r="AW88" t="b">
        <f t="shared" si="122"/>
        <v>1</v>
      </c>
      <c r="AX88" t="b">
        <f t="shared" si="123"/>
        <v>1</v>
      </c>
    </row>
    <row r="89" spans="1:50" x14ac:dyDescent="0.25">
      <c r="A89" s="1">
        <v>87</v>
      </c>
      <c r="B89" s="10">
        <v>40771</v>
      </c>
      <c r="C89" s="5">
        <v>8</v>
      </c>
      <c r="D89" s="13">
        <v>4</v>
      </c>
      <c r="E89" s="57" t="str">
        <f t="shared" si="79"/>
        <v xml:space="preserve">OneTouch Ultra Blue Test Strips (Rx - box of 100) [usage = 2 strips/day; 60 per month] </v>
      </c>
      <c r="F89" t="str">
        <f t="shared" si="80"/>
        <v>Medical Supplies</v>
      </c>
      <c r="G89" t="str">
        <f t="shared" si="81"/>
        <v>Plan Deductible Only</v>
      </c>
      <c r="H89" s="109">
        <f t="shared" si="82"/>
        <v>125.26</v>
      </c>
      <c r="I89" s="109">
        <f t="shared" si="83"/>
        <v>0</v>
      </c>
      <c r="J89" s="109">
        <f t="shared" si="84"/>
        <v>125.26</v>
      </c>
      <c r="K89" s="5" t="str">
        <f t="shared" si="85"/>
        <v>None</v>
      </c>
      <c r="L89">
        <f t="shared" si="86"/>
        <v>0</v>
      </c>
      <c r="M89" s="3">
        <f t="shared" si="87"/>
        <v>0</v>
      </c>
      <c r="N89" s="5" t="str">
        <f t="shared" si="88"/>
        <v>None</v>
      </c>
      <c r="O89">
        <f t="shared" si="89"/>
        <v>5</v>
      </c>
      <c r="P89" s="3">
        <f t="shared" si="90"/>
        <v>0</v>
      </c>
      <c r="Q89" s="8">
        <f t="shared" si="91"/>
        <v>0</v>
      </c>
      <c r="R89" s="16">
        <f t="shared" si="92"/>
        <v>0</v>
      </c>
      <c r="S89" s="8">
        <f t="shared" si="93"/>
        <v>0</v>
      </c>
      <c r="T89" s="8">
        <f t="shared" si="94"/>
        <v>125.26</v>
      </c>
      <c r="U89" s="5" t="b">
        <f t="shared" si="95"/>
        <v>1</v>
      </c>
      <c r="V89" s="8">
        <f t="shared" si="96"/>
        <v>0</v>
      </c>
      <c r="W89" s="8">
        <f t="shared" si="97"/>
        <v>0</v>
      </c>
      <c r="X89" s="5" t="b">
        <f t="shared" si="98"/>
        <v>0</v>
      </c>
      <c r="Y89" s="8">
        <f t="shared" si="99"/>
        <v>0</v>
      </c>
      <c r="Z89" s="8">
        <f t="shared" si="100"/>
        <v>0</v>
      </c>
      <c r="AA89" s="5" t="b">
        <f t="shared" si="101"/>
        <v>0</v>
      </c>
      <c r="AB89" s="8">
        <f t="shared" si="102"/>
        <v>0</v>
      </c>
      <c r="AC89" s="8">
        <f t="shared" si="103"/>
        <v>0</v>
      </c>
      <c r="AD89" s="5" t="b">
        <f t="shared" si="104"/>
        <v>0</v>
      </c>
      <c r="AE89" s="8">
        <f t="shared" si="105"/>
        <v>0</v>
      </c>
      <c r="AF89" s="8">
        <f t="shared" si="106"/>
        <v>0</v>
      </c>
      <c r="AG89" s="5" t="b">
        <f t="shared" si="107"/>
        <v>0</v>
      </c>
      <c r="AH89" s="8">
        <f t="shared" si="108"/>
        <v>0</v>
      </c>
      <c r="AI89" s="8">
        <f t="shared" si="109"/>
        <v>0</v>
      </c>
      <c r="AJ89" s="24">
        <f t="shared" si="110"/>
        <v>0</v>
      </c>
      <c r="AK89" s="8">
        <f t="shared" si="111"/>
        <v>125.26</v>
      </c>
      <c r="AL89" s="8">
        <f t="shared" si="112"/>
        <v>0</v>
      </c>
      <c r="AM89" s="183" t="b">
        <f t="shared" si="113"/>
        <v>1</v>
      </c>
      <c r="AN89" s="8">
        <f t="shared" si="114"/>
        <v>0</v>
      </c>
      <c r="AO89" s="54">
        <f t="shared" si="115"/>
        <v>3219.9999999999995</v>
      </c>
      <c r="AP89" s="8">
        <f t="shared" si="116"/>
        <v>0</v>
      </c>
      <c r="AQ89" s="8">
        <f t="shared" si="124"/>
        <v>125.26</v>
      </c>
      <c r="AR89" s="106">
        <f t="shared" si="117"/>
        <v>0</v>
      </c>
      <c r="AS89" s="106">
        <f t="shared" si="118"/>
        <v>0</v>
      </c>
      <c r="AT89" s="106">
        <f t="shared" si="119"/>
        <v>0</v>
      </c>
      <c r="AU89" s="106">
        <f t="shared" si="120"/>
        <v>0</v>
      </c>
      <c r="AV89" s="106">
        <f t="shared" si="121"/>
        <v>0</v>
      </c>
      <c r="AW89" t="b">
        <f t="shared" si="122"/>
        <v>1</v>
      </c>
      <c r="AX89" t="b">
        <f t="shared" si="123"/>
        <v>1</v>
      </c>
    </row>
    <row r="90" spans="1:50" x14ac:dyDescent="0.25">
      <c r="A90" s="1">
        <v>88</v>
      </c>
      <c r="B90" s="10">
        <v>40786</v>
      </c>
      <c r="C90" s="5">
        <v>8</v>
      </c>
      <c r="D90" s="13">
        <v>25</v>
      </c>
      <c r="E90" s="57" t="str">
        <f t="shared" si="79"/>
        <v>Alcohol swabs (OTC - box of 100)  [usage = 3 wipes/day; 90 wipes/month]</v>
      </c>
      <c r="F90" t="str">
        <f t="shared" si="80"/>
        <v>Over-the-counter Drugs</v>
      </c>
      <c r="G90" t="str">
        <f t="shared" si="81"/>
        <v>Not Covered</v>
      </c>
      <c r="H90" s="109">
        <f t="shared" si="82"/>
        <v>2.6074999999999999</v>
      </c>
      <c r="I90" s="109">
        <f t="shared" si="83"/>
        <v>2.6074999999999999</v>
      </c>
      <c r="J90" s="109">
        <f t="shared" si="84"/>
        <v>0</v>
      </c>
      <c r="K90" s="5" t="str">
        <f t="shared" si="85"/>
        <v>None</v>
      </c>
      <c r="L90">
        <f t="shared" si="86"/>
        <v>1</v>
      </c>
      <c r="M90" s="3">
        <f t="shared" si="87"/>
        <v>0</v>
      </c>
      <c r="N90" s="5" t="str">
        <f t="shared" si="88"/>
        <v>None</v>
      </c>
      <c r="O90">
        <f t="shared" si="89"/>
        <v>8</v>
      </c>
      <c r="P90" s="3">
        <f t="shared" si="90"/>
        <v>0</v>
      </c>
      <c r="Q90" s="8">
        <f t="shared" si="91"/>
        <v>0</v>
      </c>
      <c r="R90" s="16">
        <f t="shared" si="92"/>
        <v>0</v>
      </c>
      <c r="S90" s="8">
        <f t="shared" si="93"/>
        <v>0</v>
      </c>
      <c r="T90" s="8">
        <f t="shared" si="94"/>
        <v>0</v>
      </c>
      <c r="U90" s="5" t="b">
        <f t="shared" si="95"/>
        <v>0</v>
      </c>
      <c r="V90" s="8">
        <f t="shared" si="96"/>
        <v>0</v>
      </c>
      <c r="W90" s="8">
        <f t="shared" si="97"/>
        <v>0</v>
      </c>
      <c r="X90" s="5" t="b">
        <f t="shared" si="98"/>
        <v>0</v>
      </c>
      <c r="Y90" s="8">
        <f t="shared" si="99"/>
        <v>0</v>
      </c>
      <c r="Z90" s="8">
        <f t="shared" si="100"/>
        <v>0</v>
      </c>
      <c r="AA90" s="5" t="b">
        <f t="shared" si="101"/>
        <v>0</v>
      </c>
      <c r="AB90" s="8">
        <f t="shared" si="102"/>
        <v>0</v>
      </c>
      <c r="AC90" s="8">
        <f t="shared" si="103"/>
        <v>0</v>
      </c>
      <c r="AD90" s="5" t="b">
        <f t="shared" si="104"/>
        <v>0</v>
      </c>
      <c r="AE90" s="8">
        <f t="shared" si="105"/>
        <v>0</v>
      </c>
      <c r="AF90" s="8">
        <f t="shared" si="106"/>
        <v>0</v>
      </c>
      <c r="AG90" s="5" t="b">
        <f t="shared" si="107"/>
        <v>0</v>
      </c>
      <c r="AH90" s="8">
        <f t="shared" si="108"/>
        <v>0</v>
      </c>
      <c r="AI90" s="8">
        <f t="shared" si="109"/>
        <v>0</v>
      </c>
      <c r="AJ90" s="24">
        <f t="shared" si="110"/>
        <v>0</v>
      </c>
      <c r="AK90" s="8">
        <f t="shared" si="111"/>
        <v>0</v>
      </c>
      <c r="AL90" s="8">
        <f t="shared" si="112"/>
        <v>0</v>
      </c>
      <c r="AM90" s="183" t="b">
        <f t="shared" si="113"/>
        <v>0</v>
      </c>
      <c r="AN90" s="8">
        <f t="shared" si="114"/>
        <v>0</v>
      </c>
      <c r="AO90" s="54">
        <f t="shared" si="115"/>
        <v>0</v>
      </c>
      <c r="AP90" s="8">
        <f t="shared" si="116"/>
        <v>0</v>
      </c>
      <c r="AQ90" s="8">
        <f t="shared" si="124"/>
        <v>0</v>
      </c>
      <c r="AR90" s="106">
        <f t="shared" si="117"/>
        <v>2.6074999999999999</v>
      </c>
      <c r="AS90" s="106">
        <f t="shared" si="118"/>
        <v>0</v>
      </c>
      <c r="AT90" s="106">
        <f t="shared" si="119"/>
        <v>0</v>
      </c>
      <c r="AU90" s="106">
        <f t="shared" si="120"/>
        <v>0</v>
      </c>
      <c r="AV90" s="106">
        <f t="shared" si="121"/>
        <v>0</v>
      </c>
      <c r="AW90" t="b">
        <f t="shared" si="122"/>
        <v>1</v>
      </c>
      <c r="AX90" t="b">
        <f t="shared" si="123"/>
        <v>1</v>
      </c>
    </row>
    <row r="91" spans="1:50" x14ac:dyDescent="0.25">
      <c r="A91" s="1">
        <v>89</v>
      </c>
      <c r="B91" s="10">
        <v>40786</v>
      </c>
      <c r="C91" s="5">
        <v>8</v>
      </c>
      <c r="D91" s="13">
        <v>14</v>
      </c>
      <c r="E91" s="57" t="str">
        <f t="shared" si="79"/>
        <v>BD Ultrafine Insulin Syringes / 30G/ 0.5cc  [usage = 30 syringes per month]</v>
      </c>
      <c r="F91" t="str">
        <f t="shared" si="80"/>
        <v>Medical Supplies</v>
      </c>
      <c r="G91" t="str">
        <f t="shared" si="81"/>
        <v>Plan Deductible Only</v>
      </c>
      <c r="H91" s="109">
        <f t="shared" si="82"/>
        <v>42.66</v>
      </c>
      <c r="I91" s="109">
        <f t="shared" si="83"/>
        <v>0</v>
      </c>
      <c r="J91" s="109">
        <f t="shared" si="84"/>
        <v>42.66</v>
      </c>
      <c r="K91" s="5" t="str">
        <f t="shared" si="85"/>
        <v>None</v>
      </c>
      <c r="L91">
        <f t="shared" si="86"/>
        <v>1</v>
      </c>
      <c r="M91" s="3">
        <f t="shared" si="87"/>
        <v>0</v>
      </c>
      <c r="N91" s="5" t="str">
        <f t="shared" si="88"/>
        <v>None</v>
      </c>
      <c r="O91">
        <f t="shared" si="89"/>
        <v>8</v>
      </c>
      <c r="P91" s="3">
        <f t="shared" si="90"/>
        <v>0</v>
      </c>
      <c r="Q91" s="8">
        <f t="shared" si="91"/>
        <v>0</v>
      </c>
      <c r="R91" s="16">
        <f t="shared" si="92"/>
        <v>0</v>
      </c>
      <c r="S91" s="8">
        <f t="shared" si="93"/>
        <v>0</v>
      </c>
      <c r="T91" s="8">
        <f t="shared" si="94"/>
        <v>42.66</v>
      </c>
      <c r="U91" s="5" t="b">
        <f t="shared" si="95"/>
        <v>1</v>
      </c>
      <c r="V91" s="8">
        <f t="shared" si="96"/>
        <v>0</v>
      </c>
      <c r="W91" s="8">
        <f t="shared" si="97"/>
        <v>0</v>
      </c>
      <c r="X91" s="5" t="b">
        <f t="shared" si="98"/>
        <v>0</v>
      </c>
      <c r="Y91" s="8">
        <f t="shared" si="99"/>
        <v>0</v>
      </c>
      <c r="Z91" s="8">
        <f t="shared" si="100"/>
        <v>0</v>
      </c>
      <c r="AA91" s="5" t="b">
        <f t="shared" si="101"/>
        <v>0</v>
      </c>
      <c r="AB91" s="8">
        <f t="shared" si="102"/>
        <v>0</v>
      </c>
      <c r="AC91" s="8">
        <f t="shared" si="103"/>
        <v>0</v>
      </c>
      <c r="AD91" s="5" t="b">
        <f t="shared" si="104"/>
        <v>0</v>
      </c>
      <c r="AE91" s="8">
        <f t="shared" si="105"/>
        <v>0</v>
      </c>
      <c r="AF91" s="8">
        <f t="shared" si="106"/>
        <v>0</v>
      </c>
      <c r="AG91" s="5" t="b">
        <f t="shared" si="107"/>
        <v>0</v>
      </c>
      <c r="AH91" s="8">
        <f t="shared" si="108"/>
        <v>0</v>
      </c>
      <c r="AI91" s="8">
        <f t="shared" si="109"/>
        <v>0</v>
      </c>
      <c r="AJ91" s="24">
        <f t="shared" si="110"/>
        <v>0</v>
      </c>
      <c r="AK91" s="8">
        <f t="shared" si="111"/>
        <v>42.66</v>
      </c>
      <c r="AL91" s="8">
        <f t="shared" si="112"/>
        <v>0</v>
      </c>
      <c r="AM91" s="183" t="b">
        <f t="shared" si="113"/>
        <v>1</v>
      </c>
      <c r="AN91" s="8">
        <f t="shared" si="114"/>
        <v>0</v>
      </c>
      <c r="AO91" s="54">
        <f t="shared" si="115"/>
        <v>3219.9999999999995</v>
      </c>
      <c r="AP91" s="8">
        <f t="shared" si="116"/>
        <v>0</v>
      </c>
      <c r="AQ91" s="8">
        <f t="shared" si="124"/>
        <v>42.66</v>
      </c>
      <c r="AR91" s="106">
        <f t="shared" si="117"/>
        <v>0</v>
      </c>
      <c r="AS91" s="106">
        <f t="shared" si="118"/>
        <v>0</v>
      </c>
      <c r="AT91" s="106">
        <f t="shared" si="119"/>
        <v>0</v>
      </c>
      <c r="AU91" s="106">
        <f t="shared" si="120"/>
        <v>0</v>
      </c>
      <c r="AV91" s="106">
        <f t="shared" si="121"/>
        <v>0</v>
      </c>
      <c r="AW91" t="b">
        <f t="shared" si="122"/>
        <v>1</v>
      </c>
      <c r="AX91" t="b">
        <f t="shared" si="123"/>
        <v>1</v>
      </c>
    </row>
    <row r="92" spans="1:50" x14ac:dyDescent="0.25">
      <c r="A92" s="1">
        <v>90</v>
      </c>
      <c r="B92" s="10">
        <v>40786</v>
      </c>
      <c r="C92" s="5">
        <v>8</v>
      </c>
      <c r="D92" s="13">
        <v>32</v>
      </c>
      <c r="E92" s="57" t="str">
        <f t="shared" si="79"/>
        <v>METFORMIN HCL 850 MG TABLET</v>
      </c>
      <c r="F92" t="str">
        <f t="shared" si="80"/>
        <v>Prescription Drugs: Generic</v>
      </c>
      <c r="G92" t="str">
        <f t="shared" si="81"/>
        <v>Rx Deductible+Co-pay</v>
      </c>
      <c r="H92" s="109">
        <f t="shared" si="82"/>
        <v>9.19</v>
      </c>
      <c r="I92" s="109">
        <f t="shared" si="83"/>
        <v>0</v>
      </c>
      <c r="J92" s="109">
        <f t="shared" si="84"/>
        <v>9.19</v>
      </c>
      <c r="K92" s="5" t="str">
        <f t="shared" si="85"/>
        <v>None</v>
      </c>
      <c r="L92">
        <f t="shared" si="86"/>
        <v>1</v>
      </c>
      <c r="M92" s="3">
        <f t="shared" si="87"/>
        <v>0</v>
      </c>
      <c r="N92" s="5" t="str">
        <f t="shared" si="88"/>
        <v>None</v>
      </c>
      <c r="O92">
        <f t="shared" si="89"/>
        <v>8</v>
      </c>
      <c r="P92" s="3">
        <f t="shared" si="90"/>
        <v>0</v>
      </c>
      <c r="Q92" s="8">
        <f t="shared" si="91"/>
        <v>10</v>
      </c>
      <c r="R92" s="16">
        <f t="shared" si="92"/>
        <v>0</v>
      </c>
      <c r="S92" s="8">
        <f t="shared" si="93"/>
        <v>0</v>
      </c>
      <c r="T92" s="8">
        <f t="shared" si="94"/>
        <v>0</v>
      </c>
      <c r="U92" s="5" t="b">
        <f t="shared" si="95"/>
        <v>0</v>
      </c>
      <c r="V92" s="8">
        <f t="shared" si="96"/>
        <v>0</v>
      </c>
      <c r="W92" s="8">
        <f t="shared" si="97"/>
        <v>0</v>
      </c>
      <c r="X92" s="5" t="b">
        <f t="shared" si="98"/>
        <v>1</v>
      </c>
      <c r="Y92" s="8">
        <f t="shared" si="99"/>
        <v>0</v>
      </c>
      <c r="Z92" s="8">
        <f t="shared" si="100"/>
        <v>0</v>
      </c>
      <c r="AA92" s="5" t="b">
        <f t="shared" si="101"/>
        <v>0</v>
      </c>
      <c r="AB92" s="8">
        <f t="shared" si="102"/>
        <v>0</v>
      </c>
      <c r="AC92" s="8">
        <f t="shared" si="103"/>
        <v>0</v>
      </c>
      <c r="AD92" s="5" t="b">
        <f t="shared" si="104"/>
        <v>0</v>
      </c>
      <c r="AE92" s="8">
        <f t="shared" si="105"/>
        <v>0</v>
      </c>
      <c r="AF92" s="8">
        <f t="shared" si="106"/>
        <v>0</v>
      </c>
      <c r="AG92" s="5" t="b">
        <f t="shared" si="107"/>
        <v>0</v>
      </c>
      <c r="AH92" s="8">
        <f t="shared" si="108"/>
        <v>0</v>
      </c>
      <c r="AI92" s="8">
        <f t="shared" si="109"/>
        <v>0</v>
      </c>
      <c r="AJ92" s="24">
        <f t="shared" si="110"/>
        <v>0</v>
      </c>
      <c r="AK92" s="8">
        <f t="shared" si="111"/>
        <v>9.19</v>
      </c>
      <c r="AL92" s="8">
        <f t="shared" si="112"/>
        <v>10</v>
      </c>
      <c r="AM92" s="183" t="b">
        <f t="shared" si="113"/>
        <v>1</v>
      </c>
      <c r="AN92" s="8">
        <f t="shared" si="114"/>
        <v>10</v>
      </c>
      <c r="AO92" s="54">
        <f t="shared" si="115"/>
        <v>3219.9999999999995</v>
      </c>
      <c r="AP92" s="8">
        <f t="shared" si="116"/>
        <v>10</v>
      </c>
      <c r="AQ92" s="8">
        <f t="shared" si="124"/>
        <v>0</v>
      </c>
      <c r="AR92" s="106">
        <f t="shared" si="117"/>
        <v>0</v>
      </c>
      <c r="AS92" s="106">
        <f t="shared" si="118"/>
        <v>0</v>
      </c>
      <c r="AT92" s="106">
        <f t="shared" si="119"/>
        <v>10</v>
      </c>
      <c r="AU92" s="106">
        <f t="shared" si="120"/>
        <v>0</v>
      </c>
      <c r="AV92" s="106">
        <f t="shared" si="121"/>
        <v>0</v>
      </c>
      <c r="AW92" t="b">
        <f t="shared" si="122"/>
        <v>1</v>
      </c>
      <c r="AX92" t="b">
        <f t="shared" si="123"/>
        <v>0</v>
      </c>
    </row>
    <row r="93" spans="1:50" x14ac:dyDescent="0.25">
      <c r="A93" s="1">
        <v>91</v>
      </c>
      <c r="B93" s="10">
        <v>40786</v>
      </c>
      <c r="C93" s="5">
        <v>8</v>
      </c>
      <c r="D93" s="13">
        <v>19</v>
      </c>
      <c r="E93" s="57" t="str">
        <f t="shared" si="79"/>
        <v>Ramipril 10mg (Rx) [1 QD; #30 pills/month]</v>
      </c>
      <c r="F93" t="str">
        <f t="shared" si="80"/>
        <v>Prescription Drugs: Generic</v>
      </c>
      <c r="G93" t="str">
        <f t="shared" si="81"/>
        <v>Rx Deductible+Co-pay</v>
      </c>
      <c r="H93" s="109">
        <f t="shared" si="82"/>
        <v>15.92</v>
      </c>
      <c r="I93" s="109">
        <f t="shared" si="83"/>
        <v>0</v>
      </c>
      <c r="J93" s="109">
        <f t="shared" si="84"/>
        <v>15.92</v>
      </c>
      <c r="K93" s="5" t="str">
        <f t="shared" si="85"/>
        <v>None</v>
      </c>
      <c r="L93">
        <f t="shared" si="86"/>
        <v>1</v>
      </c>
      <c r="M93" s="3">
        <f t="shared" si="87"/>
        <v>0</v>
      </c>
      <c r="N93" s="5" t="str">
        <f t="shared" si="88"/>
        <v>None</v>
      </c>
      <c r="O93">
        <f t="shared" si="89"/>
        <v>8</v>
      </c>
      <c r="P93" s="3">
        <f t="shared" si="90"/>
        <v>0</v>
      </c>
      <c r="Q93" s="8">
        <f t="shared" si="91"/>
        <v>10</v>
      </c>
      <c r="R93" s="16">
        <f t="shared" si="92"/>
        <v>0</v>
      </c>
      <c r="S93" s="8">
        <f t="shared" si="93"/>
        <v>0</v>
      </c>
      <c r="T93" s="8">
        <f t="shared" si="94"/>
        <v>5.92</v>
      </c>
      <c r="U93" s="5" t="b">
        <f t="shared" si="95"/>
        <v>0</v>
      </c>
      <c r="V93" s="8">
        <f t="shared" si="96"/>
        <v>0</v>
      </c>
      <c r="W93" s="8">
        <f t="shared" si="97"/>
        <v>0</v>
      </c>
      <c r="X93" s="5" t="b">
        <f t="shared" si="98"/>
        <v>1</v>
      </c>
      <c r="Y93" s="8">
        <f t="shared" si="99"/>
        <v>0</v>
      </c>
      <c r="Z93" s="8">
        <f t="shared" si="100"/>
        <v>0</v>
      </c>
      <c r="AA93" s="5" t="b">
        <f t="shared" si="101"/>
        <v>0</v>
      </c>
      <c r="AB93" s="8">
        <f t="shared" si="102"/>
        <v>0</v>
      </c>
      <c r="AC93" s="8">
        <f t="shared" si="103"/>
        <v>0</v>
      </c>
      <c r="AD93" s="5" t="b">
        <f t="shared" si="104"/>
        <v>0</v>
      </c>
      <c r="AE93" s="8">
        <f t="shared" si="105"/>
        <v>0</v>
      </c>
      <c r="AF93" s="8">
        <f t="shared" si="106"/>
        <v>0</v>
      </c>
      <c r="AG93" s="5" t="b">
        <f t="shared" si="107"/>
        <v>0</v>
      </c>
      <c r="AH93" s="8">
        <f t="shared" si="108"/>
        <v>0</v>
      </c>
      <c r="AI93" s="8">
        <f t="shared" si="109"/>
        <v>0</v>
      </c>
      <c r="AJ93" s="24">
        <f t="shared" si="110"/>
        <v>0</v>
      </c>
      <c r="AK93" s="8">
        <f t="shared" si="111"/>
        <v>15.92</v>
      </c>
      <c r="AL93" s="8">
        <f t="shared" si="112"/>
        <v>10</v>
      </c>
      <c r="AM93" s="183" t="b">
        <f t="shared" si="113"/>
        <v>1</v>
      </c>
      <c r="AN93" s="8">
        <f t="shared" si="114"/>
        <v>10</v>
      </c>
      <c r="AO93" s="54">
        <f t="shared" si="115"/>
        <v>3209.9999999999995</v>
      </c>
      <c r="AP93" s="8">
        <f t="shared" si="116"/>
        <v>10</v>
      </c>
      <c r="AQ93" s="8">
        <f t="shared" si="124"/>
        <v>5.92</v>
      </c>
      <c r="AR93" s="106">
        <f t="shared" si="117"/>
        <v>0</v>
      </c>
      <c r="AS93" s="106">
        <f t="shared" si="118"/>
        <v>0</v>
      </c>
      <c r="AT93" s="106">
        <f t="shared" si="119"/>
        <v>10</v>
      </c>
      <c r="AU93" s="106">
        <f t="shared" si="120"/>
        <v>0</v>
      </c>
      <c r="AV93" s="106">
        <f t="shared" si="121"/>
        <v>0</v>
      </c>
      <c r="AW93" t="b">
        <f t="shared" si="122"/>
        <v>1</v>
      </c>
      <c r="AX93" t="b">
        <f t="shared" si="123"/>
        <v>1</v>
      </c>
    </row>
    <row r="94" spans="1:50" x14ac:dyDescent="0.25">
      <c r="A94" s="1">
        <v>92</v>
      </c>
      <c r="B94" s="10">
        <v>40796</v>
      </c>
      <c r="C94" s="5">
        <v>9</v>
      </c>
      <c r="D94" s="13">
        <v>5</v>
      </c>
      <c r="E94" s="57" t="str">
        <f t="shared" si="79"/>
        <v>OneTouch Delica Lancets (100 per box)  [usage = 60 lancets per month]</v>
      </c>
      <c r="F94" t="str">
        <f t="shared" si="80"/>
        <v>Medical Supplies</v>
      </c>
      <c r="G94" t="str">
        <f t="shared" si="81"/>
        <v>Plan Deductible Only</v>
      </c>
      <c r="H94" s="109">
        <f t="shared" si="82"/>
        <v>10.38</v>
      </c>
      <c r="I94" s="109">
        <f t="shared" si="83"/>
        <v>0</v>
      </c>
      <c r="J94" s="109">
        <f t="shared" si="84"/>
        <v>10.38</v>
      </c>
      <c r="K94" s="5" t="str">
        <f t="shared" si="85"/>
        <v>None</v>
      </c>
      <c r="L94">
        <f t="shared" si="86"/>
        <v>0</v>
      </c>
      <c r="M94" s="3">
        <f t="shared" si="87"/>
        <v>0</v>
      </c>
      <c r="N94" s="5" t="str">
        <f t="shared" si="88"/>
        <v>None</v>
      </c>
      <c r="O94">
        <f t="shared" si="89"/>
        <v>5</v>
      </c>
      <c r="P94" s="3">
        <f t="shared" si="90"/>
        <v>0</v>
      </c>
      <c r="Q94" s="8">
        <f t="shared" si="91"/>
        <v>0</v>
      </c>
      <c r="R94" s="16">
        <f t="shared" si="92"/>
        <v>0</v>
      </c>
      <c r="S94" s="8">
        <f t="shared" si="93"/>
        <v>0</v>
      </c>
      <c r="T94" s="8">
        <f t="shared" si="94"/>
        <v>10.38</v>
      </c>
      <c r="U94" s="5" t="b">
        <f t="shared" si="95"/>
        <v>1</v>
      </c>
      <c r="V94" s="8">
        <f t="shared" si="96"/>
        <v>0</v>
      </c>
      <c r="W94" s="8">
        <f t="shared" si="97"/>
        <v>0</v>
      </c>
      <c r="X94" s="5" t="b">
        <f t="shared" si="98"/>
        <v>0</v>
      </c>
      <c r="Y94" s="8">
        <f t="shared" si="99"/>
        <v>0</v>
      </c>
      <c r="Z94" s="8">
        <f t="shared" si="100"/>
        <v>0</v>
      </c>
      <c r="AA94" s="5" t="b">
        <f t="shared" si="101"/>
        <v>0</v>
      </c>
      <c r="AB94" s="8">
        <f t="shared" si="102"/>
        <v>0</v>
      </c>
      <c r="AC94" s="8">
        <f t="shared" si="103"/>
        <v>0</v>
      </c>
      <c r="AD94" s="5" t="b">
        <f t="shared" si="104"/>
        <v>0</v>
      </c>
      <c r="AE94" s="8">
        <f t="shared" si="105"/>
        <v>0</v>
      </c>
      <c r="AF94" s="8">
        <f t="shared" si="106"/>
        <v>0</v>
      </c>
      <c r="AG94" s="5" t="b">
        <f t="shared" si="107"/>
        <v>0</v>
      </c>
      <c r="AH94" s="8">
        <f t="shared" si="108"/>
        <v>0</v>
      </c>
      <c r="AI94" s="8">
        <f t="shared" si="109"/>
        <v>0</v>
      </c>
      <c r="AJ94" s="24">
        <f t="shared" si="110"/>
        <v>0</v>
      </c>
      <c r="AK94" s="8">
        <f t="shared" si="111"/>
        <v>10.38</v>
      </c>
      <c r="AL94" s="8">
        <f t="shared" si="112"/>
        <v>0</v>
      </c>
      <c r="AM94" s="183" t="b">
        <f t="shared" si="113"/>
        <v>1</v>
      </c>
      <c r="AN94" s="8">
        <f t="shared" si="114"/>
        <v>0</v>
      </c>
      <c r="AO94" s="54">
        <f t="shared" si="115"/>
        <v>3199.9999999999995</v>
      </c>
      <c r="AP94" s="8">
        <f t="shared" si="116"/>
        <v>0</v>
      </c>
      <c r="AQ94" s="8">
        <f t="shared" si="124"/>
        <v>10.38</v>
      </c>
      <c r="AR94" s="106">
        <f t="shared" si="117"/>
        <v>0</v>
      </c>
      <c r="AS94" s="106">
        <f t="shared" si="118"/>
        <v>0</v>
      </c>
      <c r="AT94" s="106">
        <f t="shared" si="119"/>
        <v>0</v>
      </c>
      <c r="AU94" s="106">
        <f t="shared" si="120"/>
        <v>0</v>
      </c>
      <c r="AV94" s="106">
        <f t="shared" si="121"/>
        <v>0</v>
      </c>
      <c r="AW94" t="b">
        <f t="shared" si="122"/>
        <v>1</v>
      </c>
      <c r="AX94" t="b">
        <f t="shared" si="123"/>
        <v>1</v>
      </c>
    </row>
    <row r="95" spans="1:50" x14ac:dyDescent="0.25">
      <c r="A95" s="1">
        <v>93</v>
      </c>
      <c r="B95" s="10">
        <v>40796</v>
      </c>
      <c r="C95" s="5">
        <v>9</v>
      </c>
      <c r="D95" s="13">
        <v>4</v>
      </c>
      <c r="E95" s="57" t="str">
        <f t="shared" si="79"/>
        <v xml:space="preserve">OneTouch Ultra Blue Test Strips (Rx - box of 100) [usage = 2 strips/day; 60 per month] </v>
      </c>
      <c r="F95" t="str">
        <f t="shared" si="80"/>
        <v>Medical Supplies</v>
      </c>
      <c r="G95" t="str">
        <f t="shared" si="81"/>
        <v>Plan Deductible Only</v>
      </c>
      <c r="H95" s="109">
        <f t="shared" si="82"/>
        <v>125.26</v>
      </c>
      <c r="I95" s="109">
        <f t="shared" si="83"/>
        <v>0</v>
      </c>
      <c r="J95" s="109">
        <f t="shared" si="84"/>
        <v>125.26</v>
      </c>
      <c r="K95" s="5" t="str">
        <f t="shared" si="85"/>
        <v>None</v>
      </c>
      <c r="L95">
        <f t="shared" si="86"/>
        <v>0</v>
      </c>
      <c r="M95" s="3">
        <f t="shared" si="87"/>
        <v>0</v>
      </c>
      <c r="N95" s="5" t="str">
        <f t="shared" si="88"/>
        <v>None</v>
      </c>
      <c r="O95">
        <f t="shared" si="89"/>
        <v>6</v>
      </c>
      <c r="P95" s="3">
        <f t="shared" si="90"/>
        <v>0</v>
      </c>
      <c r="Q95" s="8">
        <f t="shared" si="91"/>
        <v>0</v>
      </c>
      <c r="R95" s="16">
        <f t="shared" si="92"/>
        <v>0</v>
      </c>
      <c r="S95" s="8">
        <f t="shared" si="93"/>
        <v>0</v>
      </c>
      <c r="T95" s="8">
        <f t="shared" si="94"/>
        <v>125.26</v>
      </c>
      <c r="U95" s="5" t="b">
        <f t="shared" si="95"/>
        <v>1</v>
      </c>
      <c r="V95" s="8">
        <f t="shared" si="96"/>
        <v>0</v>
      </c>
      <c r="W95" s="8">
        <f t="shared" si="97"/>
        <v>0</v>
      </c>
      <c r="X95" s="5" t="b">
        <f t="shared" si="98"/>
        <v>0</v>
      </c>
      <c r="Y95" s="8">
        <f t="shared" si="99"/>
        <v>0</v>
      </c>
      <c r="Z95" s="8">
        <f t="shared" si="100"/>
        <v>0</v>
      </c>
      <c r="AA95" s="5" t="b">
        <f t="shared" si="101"/>
        <v>0</v>
      </c>
      <c r="AB95" s="8">
        <f t="shared" si="102"/>
        <v>0</v>
      </c>
      <c r="AC95" s="8">
        <f t="shared" si="103"/>
        <v>0</v>
      </c>
      <c r="AD95" s="5" t="b">
        <f t="shared" si="104"/>
        <v>0</v>
      </c>
      <c r="AE95" s="8">
        <f t="shared" si="105"/>
        <v>0</v>
      </c>
      <c r="AF95" s="8">
        <f t="shared" si="106"/>
        <v>0</v>
      </c>
      <c r="AG95" s="5" t="b">
        <f t="shared" si="107"/>
        <v>0</v>
      </c>
      <c r="AH95" s="8">
        <f t="shared" si="108"/>
        <v>0</v>
      </c>
      <c r="AI95" s="8">
        <f t="shared" si="109"/>
        <v>0</v>
      </c>
      <c r="AJ95" s="24">
        <f t="shared" si="110"/>
        <v>0</v>
      </c>
      <c r="AK95" s="8">
        <f t="shared" si="111"/>
        <v>125.26</v>
      </c>
      <c r="AL95" s="8">
        <f t="shared" si="112"/>
        <v>0</v>
      </c>
      <c r="AM95" s="183" t="b">
        <f t="shared" si="113"/>
        <v>1</v>
      </c>
      <c r="AN95" s="8">
        <f t="shared" si="114"/>
        <v>0</v>
      </c>
      <c r="AO95" s="54">
        <f t="shared" si="115"/>
        <v>3199.9999999999995</v>
      </c>
      <c r="AP95" s="8">
        <f t="shared" si="116"/>
        <v>0</v>
      </c>
      <c r="AQ95" s="8">
        <f t="shared" si="124"/>
        <v>125.26</v>
      </c>
      <c r="AR95" s="106">
        <f t="shared" si="117"/>
        <v>0</v>
      </c>
      <c r="AS95" s="106">
        <f t="shared" si="118"/>
        <v>0</v>
      </c>
      <c r="AT95" s="106">
        <f t="shared" si="119"/>
        <v>0</v>
      </c>
      <c r="AU95" s="106">
        <f t="shared" si="120"/>
        <v>0</v>
      </c>
      <c r="AV95" s="106">
        <f t="shared" si="121"/>
        <v>0</v>
      </c>
      <c r="AW95" t="b">
        <f t="shared" si="122"/>
        <v>1</v>
      </c>
      <c r="AX95" t="b">
        <f t="shared" si="123"/>
        <v>1</v>
      </c>
    </row>
    <row r="96" spans="1:50" x14ac:dyDescent="0.25">
      <c r="A96" s="1">
        <v>94</v>
      </c>
      <c r="B96" s="10">
        <v>40798</v>
      </c>
      <c r="C96" s="5">
        <v>9</v>
      </c>
      <c r="D96" s="13">
        <v>26</v>
      </c>
      <c r="E96" s="57" t="str">
        <f t="shared" si="79"/>
        <v>Aspirin 81mg (OTC - bottle 100) [usage = 1 QD; #30 pills per month]</v>
      </c>
      <c r="F96" t="str">
        <f t="shared" si="80"/>
        <v>Over-the-counter Drugs</v>
      </c>
      <c r="G96" t="str">
        <f t="shared" si="81"/>
        <v>Not Covered</v>
      </c>
      <c r="H96" s="109">
        <f t="shared" si="82"/>
        <v>4.2725</v>
      </c>
      <c r="I96" s="109">
        <f t="shared" si="83"/>
        <v>4.2725</v>
      </c>
      <c r="J96" s="109">
        <f t="shared" si="84"/>
        <v>0</v>
      </c>
      <c r="K96" s="5" t="str">
        <f t="shared" si="85"/>
        <v>None</v>
      </c>
      <c r="L96">
        <f t="shared" si="86"/>
        <v>0</v>
      </c>
      <c r="M96" s="3">
        <f t="shared" si="87"/>
        <v>0</v>
      </c>
      <c r="N96" s="5" t="str">
        <f t="shared" si="88"/>
        <v>None</v>
      </c>
      <c r="O96">
        <f t="shared" si="89"/>
        <v>3</v>
      </c>
      <c r="P96" s="3">
        <f t="shared" si="90"/>
        <v>0</v>
      </c>
      <c r="Q96" s="8">
        <f t="shared" si="91"/>
        <v>0</v>
      </c>
      <c r="R96" s="16">
        <f t="shared" si="92"/>
        <v>0</v>
      </c>
      <c r="S96" s="8">
        <f t="shared" si="93"/>
        <v>0</v>
      </c>
      <c r="T96" s="8">
        <f t="shared" si="94"/>
        <v>0</v>
      </c>
      <c r="U96" s="5" t="b">
        <f t="shared" si="95"/>
        <v>0</v>
      </c>
      <c r="V96" s="8">
        <f t="shared" si="96"/>
        <v>0</v>
      </c>
      <c r="W96" s="8">
        <f t="shared" si="97"/>
        <v>0</v>
      </c>
      <c r="X96" s="5" t="b">
        <f t="shared" si="98"/>
        <v>0</v>
      </c>
      <c r="Y96" s="8">
        <f t="shared" si="99"/>
        <v>0</v>
      </c>
      <c r="Z96" s="8">
        <f t="shared" si="100"/>
        <v>0</v>
      </c>
      <c r="AA96" s="5" t="b">
        <f t="shared" si="101"/>
        <v>0</v>
      </c>
      <c r="AB96" s="8">
        <f t="shared" si="102"/>
        <v>0</v>
      </c>
      <c r="AC96" s="8">
        <f t="shared" si="103"/>
        <v>0</v>
      </c>
      <c r="AD96" s="5" t="b">
        <f t="shared" si="104"/>
        <v>0</v>
      </c>
      <c r="AE96" s="8">
        <f t="shared" si="105"/>
        <v>0</v>
      </c>
      <c r="AF96" s="8">
        <f t="shared" si="106"/>
        <v>0</v>
      </c>
      <c r="AG96" s="5" t="b">
        <f t="shared" si="107"/>
        <v>0</v>
      </c>
      <c r="AH96" s="8">
        <f t="shared" si="108"/>
        <v>0</v>
      </c>
      <c r="AI96" s="8">
        <f t="shared" si="109"/>
        <v>0</v>
      </c>
      <c r="AJ96" s="24">
        <f t="shared" si="110"/>
        <v>0</v>
      </c>
      <c r="AK96" s="8">
        <f t="shared" si="111"/>
        <v>0</v>
      </c>
      <c r="AL96" s="8">
        <f t="shared" si="112"/>
        <v>0</v>
      </c>
      <c r="AM96" s="183" t="b">
        <f t="shared" si="113"/>
        <v>0</v>
      </c>
      <c r="AN96" s="8">
        <f t="shared" si="114"/>
        <v>0</v>
      </c>
      <c r="AO96" s="54">
        <f t="shared" si="115"/>
        <v>0</v>
      </c>
      <c r="AP96" s="8">
        <f t="shared" si="116"/>
        <v>0</v>
      </c>
      <c r="AQ96" s="8">
        <f t="shared" si="124"/>
        <v>0</v>
      </c>
      <c r="AR96" s="106">
        <f t="shared" si="117"/>
        <v>4.2725</v>
      </c>
      <c r="AS96" s="106">
        <f t="shared" si="118"/>
        <v>0</v>
      </c>
      <c r="AT96" s="106">
        <f t="shared" si="119"/>
        <v>0</v>
      </c>
      <c r="AU96" s="106">
        <f t="shared" si="120"/>
        <v>0</v>
      </c>
      <c r="AV96" s="106">
        <f t="shared" si="121"/>
        <v>0</v>
      </c>
      <c r="AW96" t="b">
        <f t="shared" si="122"/>
        <v>1</v>
      </c>
      <c r="AX96" t="b">
        <f t="shared" si="123"/>
        <v>1</v>
      </c>
    </row>
    <row r="97" spans="1:50" x14ac:dyDescent="0.25">
      <c r="A97" s="1">
        <v>95</v>
      </c>
      <c r="B97" s="10">
        <v>40798</v>
      </c>
      <c r="C97" s="5">
        <v>9</v>
      </c>
      <c r="D97" s="13">
        <v>17</v>
      </c>
      <c r="E97" s="57" t="str">
        <f t="shared" si="79"/>
        <v>Insulin glargine 100 unit/ml injectable solution (Rx - 10ml vial)  [20 units QD; expires 28 days after first use]</v>
      </c>
      <c r="F97" t="str">
        <f t="shared" si="80"/>
        <v>Prescription Drugs: Branded</v>
      </c>
      <c r="G97" t="str">
        <f t="shared" si="81"/>
        <v>Rx Deductible+Co-pay</v>
      </c>
      <c r="H97" s="109">
        <f t="shared" si="82"/>
        <v>275.51</v>
      </c>
      <c r="I97" s="109">
        <f t="shared" si="83"/>
        <v>0</v>
      </c>
      <c r="J97" s="109">
        <f t="shared" si="84"/>
        <v>275.51</v>
      </c>
      <c r="K97" s="5" t="str">
        <f t="shared" si="85"/>
        <v>None</v>
      </c>
      <c r="L97">
        <f t="shared" si="86"/>
        <v>0</v>
      </c>
      <c r="M97" s="3">
        <f t="shared" si="87"/>
        <v>0</v>
      </c>
      <c r="N97" s="5" t="str">
        <f t="shared" si="88"/>
        <v>None</v>
      </c>
      <c r="O97">
        <f t="shared" si="89"/>
        <v>9</v>
      </c>
      <c r="P97" s="3">
        <f t="shared" si="90"/>
        <v>0</v>
      </c>
      <c r="Q97" s="8">
        <f t="shared" si="91"/>
        <v>30</v>
      </c>
      <c r="R97" s="16">
        <f t="shared" si="92"/>
        <v>0</v>
      </c>
      <c r="S97" s="8">
        <f t="shared" si="93"/>
        <v>0</v>
      </c>
      <c r="T97" s="8">
        <f t="shared" si="94"/>
        <v>245.51</v>
      </c>
      <c r="U97" s="5" t="b">
        <f t="shared" si="95"/>
        <v>0</v>
      </c>
      <c r="V97" s="8">
        <f t="shared" si="96"/>
        <v>0</v>
      </c>
      <c r="W97" s="8">
        <f t="shared" si="97"/>
        <v>0</v>
      </c>
      <c r="X97" s="5" t="b">
        <f t="shared" si="98"/>
        <v>1</v>
      </c>
      <c r="Y97" s="8">
        <f t="shared" si="99"/>
        <v>0</v>
      </c>
      <c r="Z97" s="8">
        <f t="shared" si="100"/>
        <v>0</v>
      </c>
      <c r="AA97" s="5" t="b">
        <f t="shared" si="101"/>
        <v>0</v>
      </c>
      <c r="AB97" s="8">
        <f t="shared" si="102"/>
        <v>0</v>
      </c>
      <c r="AC97" s="8">
        <f t="shared" si="103"/>
        <v>0</v>
      </c>
      <c r="AD97" s="5" t="b">
        <f t="shared" si="104"/>
        <v>0</v>
      </c>
      <c r="AE97" s="8">
        <f t="shared" si="105"/>
        <v>0</v>
      </c>
      <c r="AF97" s="8">
        <f t="shared" si="106"/>
        <v>0</v>
      </c>
      <c r="AG97" s="5" t="b">
        <f t="shared" si="107"/>
        <v>0</v>
      </c>
      <c r="AH97" s="8">
        <f t="shared" si="108"/>
        <v>0</v>
      </c>
      <c r="AI97" s="8">
        <f t="shared" si="109"/>
        <v>0</v>
      </c>
      <c r="AJ97" s="24">
        <f t="shared" si="110"/>
        <v>0</v>
      </c>
      <c r="AK97" s="8">
        <f t="shared" si="111"/>
        <v>275.51</v>
      </c>
      <c r="AL97" s="8">
        <f t="shared" si="112"/>
        <v>30</v>
      </c>
      <c r="AM97" s="183" t="b">
        <f t="shared" si="113"/>
        <v>1</v>
      </c>
      <c r="AN97" s="8">
        <f t="shared" si="114"/>
        <v>30</v>
      </c>
      <c r="AO97" s="54">
        <f t="shared" si="115"/>
        <v>3199.9999999999995</v>
      </c>
      <c r="AP97" s="8">
        <f t="shared" si="116"/>
        <v>30</v>
      </c>
      <c r="AQ97" s="8">
        <f t="shared" si="124"/>
        <v>245.51</v>
      </c>
      <c r="AR97" s="106">
        <f t="shared" si="117"/>
        <v>0</v>
      </c>
      <c r="AS97" s="106">
        <f t="shared" si="118"/>
        <v>0</v>
      </c>
      <c r="AT97" s="106">
        <f t="shared" si="119"/>
        <v>30</v>
      </c>
      <c r="AU97" s="106">
        <f t="shared" si="120"/>
        <v>0</v>
      </c>
      <c r="AV97" s="106">
        <f t="shared" si="121"/>
        <v>0</v>
      </c>
      <c r="AW97" t="b">
        <f t="shared" si="122"/>
        <v>1</v>
      </c>
      <c r="AX97" t="b">
        <f t="shared" si="123"/>
        <v>1</v>
      </c>
    </row>
    <row r="98" spans="1:50" x14ac:dyDescent="0.25">
      <c r="A98" s="1">
        <v>96</v>
      </c>
      <c r="B98" s="10">
        <v>40812</v>
      </c>
      <c r="C98" s="5">
        <v>9</v>
      </c>
      <c r="D98" s="13">
        <v>24</v>
      </c>
      <c r="E98" s="57" t="str">
        <f t="shared" si="79"/>
        <v>Office/Outpatient Visit Est</v>
      </c>
      <c r="F98" t="str">
        <f t="shared" si="80"/>
        <v>Professional Services: Primary Care</v>
      </c>
      <c r="G98" t="str">
        <f t="shared" si="81"/>
        <v>Copayment Only</v>
      </c>
      <c r="H98" s="109">
        <f t="shared" si="82"/>
        <v>107.87</v>
      </c>
      <c r="I98" s="109">
        <f t="shared" si="83"/>
        <v>0</v>
      </c>
      <c r="J98" s="109">
        <f t="shared" si="84"/>
        <v>107.87</v>
      </c>
      <c r="K98" s="5" t="str">
        <f t="shared" si="85"/>
        <v>None</v>
      </c>
      <c r="L98">
        <f t="shared" si="86"/>
        <v>0</v>
      </c>
      <c r="M98" s="3">
        <f t="shared" si="87"/>
        <v>0</v>
      </c>
      <c r="N98" s="5" t="str">
        <f t="shared" si="88"/>
        <v>None</v>
      </c>
      <c r="O98">
        <f t="shared" si="89"/>
        <v>3</v>
      </c>
      <c r="P98" s="3">
        <f t="shared" si="90"/>
        <v>0</v>
      </c>
      <c r="Q98" s="8">
        <f t="shared" si="91"/>
        <v>30</v>
      </c>
      <c r="R98" s="16">
        <f t="shared" si="92"/>
        <v>0</v>
      </c>
      <c r="S98" s="8">
        <f t="shared" si="93"/>
        <v>0</v>
      </c>
      <c r="T98" s="8">
        <f t="shared" si="94"/>
        <v>77.87</v>
      </c>
      <c r="U98" s="5" t="b">
        <f t="shared" si="95"/>
        <v>0</v>
      </c>
      <c r="V98" s="8">
        <f t="shared" si="96"/>
        <v>0</v>
      </c>
      <c r="W98" s="8">
        <f t="shared" si="97"/>
        <v>0</v>
      </c>
      <c r="X98" s="5" t="b">
        <f t="shared" si="98"/>
        <v>0</v>
      </c>
      <c r="Y98" s="8">
        <f t="shared" si="99"/>
        <v>0</v>
      </c>
      <c r="Z98" s="8">
        <f t="shared" si="100"/>
        <v>0</v>
      </c>
      <c r="AA98" s="5" t="b">
        <f t="shared" si="101"/>
        <v>0</v>
      </c>
      <c r="AB98" s="8">
        <f t="shared" si="102"/>
        <v>0</v>
      </c>
      <c r="AC98" s="8">
        <f t="shared" si="103"/>
        <v>0</v>
      </c>
      <c r="AD98" s="5" t="b">
        <f t="shared" si="104"/>
        <v>0</v>
      </c>
      <c r="AE98" s="8">
        <f t="shared" si="105"/>
        <v>0</v>
      </c>
      <c r="AF98" s="8">
        <f t="shared" si="106"/>
        <v>0</v>
      </c>
      <c r="AG98" s="5" t="b">
        <f t="shared" si="107"/>
        <v>0</v>
      </c>
      <c r="AH98" s="8">
        <f t="shared" si="108"/>
        <v>0</v>
      </c>
      <c r="AI98" s="8">
        <f t="shared" si="109"/>
        <v>0</v>
      </c>
      <c r="AJ98" s="24">
        <f t="shared" si="110"/>
        <v>0</v>
      </c>
      <c r="AK98" s="8">
        <f t="shared" si="111"/>
        <v>107.87</v>
      </c>
      <c r="AL98" s="8">
        <f t="shared" si="112"/>
        <v>30</v>
      </c>
      <c r="AM98" s="183" t="b">
        <f t="shared" si="113"/>
        <v>1</v>
      </c>
      <c r="AN98" s="8">
        <f t="shared" si="114"/>
        <v>30</v>
      </c>
      <c r="AO98" s="54">
        <f t="shared" si="115"/>
        <v>3169.9999999999995</v>
      </c>
      <c r="AP98" s="8">
        <f t="shared" si="116"/>
        <v>30</v>
      </c>
      <c r="AQ98" s="8">
        <f t="shared" si="124"/>
        <v>77.87</v>
      </c>
      <c r="AR98" s="106">
        <f t="shared" si="117"/>
        <v>0</v>
      </c>
      <c r="AS98" s="106">
        <f t="shared" si="118"/>
        <v>0</v>
      </c>
      <c r="AT98" s="106">
        <f t="shared" si="119"/>
        <v>30</v>
      </c>
      <c r="AU98" s="106">
        <f t="shared" si="120"/>
        <v>0</v>
      </c>
      <c r="AV98" s="106">
        <f t="shared" si="121"/>
        <v>0</v>
      </c>
      <c r="AW98" t="b">
        <f t="shared" si="122"/>
        <v>1</v>
      </c>
      <c r="AX98" t="b">
        <f t="shared" si="123"/>
        <v>1</v>
      </c>
    </row>
    <row r="99" spans="1:50" x14ac:dyDescent="0.25">
      <c r="A99" s="1">
        <v>97</v>
      </c>
      <c r="B99" s="10">
        <v>40816</v>
      </c>
      <c r="C99" s="5">
        <v>9</v>
      </c>
      <c r="D99" s="13">
        <v>25</v>
      </c>
      <c r="E99" s="57" t="str">
        <f t="shared" ref="E99:E128" si="125">VLOOKUP(ServiceCode,DiabetesFeeSchedule,6,FALSE)</f>
        <v>Alcohol swabs (OTC - box of 100)  [usage = 3 wipes/day; 90 wipes/month]</v>
      </c>
      <c r="F99" t="str">
        <f t="shared" ref="F99:F128" si="126">VLOOKUP(ServiceCode,DiabetesFeeSchedule,5,FALSE)</f>
        <v>Over-the-counter Drugs</v>
      </c>
      <c r="G99" t="str">
        <f t="shared" ref="G99:G128" si="127">VLOOKUP(BenefitCategory,BenefitDesignTable,COLUMN(BenefitCostSharing),FALSE)</f>
        <v>Not Covered</v>
      </c>
      <c r="H99" s="109">
        <f t="shared" ref="H99:H128" si="128">VLOOKUP(ServiceCode,DiabetesFeeSchedule,7,FALSE)</f>
        <v>2.6074999999999999</v>
      </c>
      <c r="I99" s="109">
        <f t="shared" ref="I99:I128" si="129">IF(CostSharingType="Not Covered",AllowedAmt,0)</f>
        <v>2.6074999999999999</v>
      </c>
      <c r="J99" s="109">
        <f t="shared" ref="J99:J128" si="130">IF((NotCoveredAmt+AmtExceedMonthLimit+AmtExceedAnnualLimit)&gt;0,0,AllowedAmt)</f>
        <v>0</v>
      </c>
      <c r="K99" s="5" t="str">
        <f t="shared" ref="K99:K128" si="131">VLOOKUP(BenefitCategory,BenefitDesignTable,COLUMN(BenefitLimithMonth),FALSE)</f>
        <v>None</v>
      </c>
      <c r="L99">
        <f t="shared" ref="L99:L128" si="132">COUNTIFS(ServiceCode,ServiceCode,ClaimMonth,ClaimMonth,ClaimNumber,"&lt;"&amp;ClaimNumber)</f>
        <v>0</v>
      </c>
      <c r="M99" s="3">
        <f t="shared" ref="M99:M128" si="133">IF(MonthLimit=0,0,IF(PriorUseMonth&gt;=MonthLimit,AllowedAmt,0))</f>
        <v>0</v>
      </c>
      <c r="N99" s="5" t="str">
        <f t="shared" ref="N99:N128" si="134">VLOOKUP(BenefitCategory,BenefitDesignTable,COLUMN(BenefitLimitAnnual),FALSE)</f>
        <v>None</v>
      </c>
      <c r="O99">
        <f t="shared" ref="O99:O128" si="135">COUNTIFS(ServiceCode,ServiceCode,ClaimNumber,"&lt;"&amp;ClaimNumber)</f>
        <v>9</v>
      </c>
      <c r="P99" s="3">
        <f t="shared" ref="P99:P128" si="136">IF(AnnualLimit=0,0,IF(PriorUseAnnual&gt;=AnnualLimit,AllowedAmt,0))</f>
        <v>0</v>
      </c>
      <c r="Q99" s="8">
        <f t="shared" si="91"/>
        <v>0</v>
      </c>
      <c r="R99" s="16">
        <f t="shared" si="92"/>
        <v>0</v>
      </c>
      <c r="S99" s="8">
        <f t="shared" si="93"/>
        <v>0</v>
      </c>
      <c r="T99" s="8">
        <f t="shared" ref="T99:T128" si="137">IF((CoveredAmt-CoPayAmount-CoInsAmount)&lt;0,0,CoveredAmt-CoPayAmount-CoInsAmount)</f>
        <v>0</v>
      </c>
      <c r="U99" s="5" t="b">
        <f t="shared" si="95"/>
        <v>0</v>
      </c>
      <c r="V99" s="8">
        <f t="shared" ref="V99:V128" si="138">MAX(0,VLOOKUP(BenefitCategory,BenefitDesignTable,COLUMN(PlanDeductible),FALSE)-SUMIFS(AllowedAmtAfterCopayCoins,PlanDeductibleApplies,TRUE,ClaimNumber,"&lt;"&amp;ClaimNumber))</f>
        <v>0</v>
      </c>
      <c r="W99" s="8">
        <f t="shared" ref="W99:W128" si="139">IF(AllowedAmtAfterCopayCoins&lt;RemainingPlanDeduc,AllowedAmtAfterCopayCoins,RemainingPlanDeduc)</f>
        <v>0</v>
      </c>
      <c r="X99" s="5" t="b">
        <f t="shared" si="98"/>
        <v>0</v>
      </c>
      <c r="Y99" s="8">
        <f t="shared" ref="Y99:Y128" si="140">MAX(0,VLOOKUP(BenefitCategory,BenefitDesignTable,COLUMN(RxDeductible),FALSE)-SUMIFS(AllowedAmtAfterCopayCoins,RxDeductibleApplies,TRUE,ClaimNumber,"&lt;"&amp;ClaimNumber))</f>
        <v>0</v>
      </c>
      <c r="Z99" s="8">
        <f t="shared" ref="Z99:Z128" si="141">IF(AllowedAmtAfterCopayCoins&lt;RemainingRxDeduc,AllowedAmtAfterCopayCoins,RemainingRxDeduc)</f>
        <v>0</v>
      </c>
      <c r="AA99" s="5" t="b">
        <f t="shared" si="101"/>
        <v>0</v>
      </c>
      <c r="AB99" s="8">
        <f t="shared" ref="AB99:AB128" si="142">MAX(0,VLOOKUP(BenefitCategory,BenefitDesignTable,COLUMN(OptDeductibleC),FALSE)-SUMIFS(AllowedAmtAfterCopayCoins,DeductibleCApplies,TRUE,ClaimNumber,"&lt;"&amp;ClaimNumber))</f>
        <v>0</v>
      </c>
      <c r="AC99" s="8">
        <f t="shared" ref="AC99:AC128" si="143">IF(AllowedAmtAfterCopayCoins&lt;RemainingDeductibleC,AllowedAmtAfterCopayCoins,RemainingDeductibleC)</f>
        <v>0</v>
      </c>
      <c r="AD99" s="5" t="b">
        <f t="shared" ref="AD99:AD128" si="144">VLOOKUP(BenefitCategory,BenefitDesignTable,COLUMN(OptDeductibleD),FALSE)&gt;0</f>
        <v>0</v>
      </c>
      <c r="AE99" s="8">
        <f t="shared" ref="AE99:AE128" si="145">MAX(0,VLOOKUP(BenefitCategory,BenefitDesignTable,COLUMN(OptDeductibleD),FALSE)-SUMIFS(AllowedAmtAfterCopayCoins,DeductibleDApplies,TRUE,ClaimNumber,"&lt;"&amp;ClaimNumber))</f>
        <v>0</v>
      </c>
      <c r="AF99" s="8">
        <f t="shared" ref="AF99:AF128" si="146">IF(AllowedAmtAfterCopayCoins&lt;RemainingDeductibleD,AllowedAmtAfterCopayCoins,RemainingDeductibleD)</f>
        <v>0</v>
      </c>
      <c r="AG99" s="5" t="b">
        <f t="shared" si="107"/>
        <v>0</v>
      </c>
      <c r="AH99" s="8">
        <f t="shared" ref="AH99:AH128" si="147">MAX(0,VLOOKUP(BenefitCategory,BenefitDesignTable,COLUMN(BenefitDeductible),FALSE)-SUMIFS(AllowedAmtAfterCopayCoins,BenefitCategory,BenefitCategory,ClaimNumber,"&lt;"&amp;ClaimNumber))</f>
        <v>0</v>
      </c>
      <c r="AI99" s="8">
        <f t="shared" ref="AI99:AI128" si="148">IF(AllowedAmtAfterCopayCoins&lt;RemainingBenefitDeduc,AllowedAmtAfterCopayCoins,RemainingBenefitDeduc)</f>
        <v>0</v>
      </c>
      <c r="AJ99" s="24">
        <f t="shared" ref="AJ99:AJ128" si="149">PlanDeductiblePayment+RxDeductiblePayment+DeductibleCPayment+DeductibleDPayment+BenefitDeductiblePayment</f>
        <v>0</v>
      </c>
      <c r="AK99" s="8">
        <f t="shared" si="111"/>
        <v>0</v>
      </c>
      <c r="AL99" s="8">
        <f t="shared" si="112"/>
        <v>0</v>
      </c>
      <c r="AM99" s="183" t="b">
        <f t="shared" si="113"/>
        <v>0</v>
      </c>
      <c r="AN99" s="8">
        <f t="shared" si="114"/>
        <v>0</v>
      </c>
      <c r="AO99" s="54">
        <f t="shared" si="115"/>
        <v>0</v>
      </c>
      <c r="AP99" s="8">
        <f t="shared" si="116"/>
        <v>0</v>
      </c>
      <c r="AQ99" s="8">
        <f t="shared" si="124"/>
        <v>0</v>
      </c>
      <c r="AR99" s="106">
        <f t="shared" ref="AR99:AR128" si="150">NotCoveredAmt</f>
        <v>2.6074999999999999</v>
      </c>
      <c r="AS99" s="106">
        <f t="shared" ref="AS99:AS128" si="151">AmtExceedMonthLimit+AmtExceedAnnualLimit</f>
        <v>0</v>
      </c>
      <c r="AT99" s="106">
        <f t="shared" ref="AT99:AT128" si="152">IF(CoPayAmount&lt;SubscriberPaymentAfterOPL,CoPayAmount,SubscriberPaymentAfterOPL)</f>
        <v>0</v>
      </c>
      <c r="AU99" s="106">
        <f t="shared" ref="AU99:AU128" si="153">IF(CoInsAmount&lt;SubscriberPaymentAfterOPL,CoInsAmount,SubscriberPaymentAfterOPL)</f>
        <v>0</v>
      </c>
      <c r="AV99" s="106">
        <f t="shared" ref="AV99:AV128" si="154">IF(PaymentTowardDeductibles&lt;(SubscriberPaymentAfterOPL-CoPayAmount-CoInsAmount),(SubscriberPaymentAfterOPL-CoPayAmount-CoInsAmount),PaymentTowardDeductibles)</f>
        <v>0</v>
      </c>
      <c r="AW99" t="b">
        <f t="shared" ref="AW99:AW128" si="155">SUM(AS99:AV99)=AP99</f>
        <v>1</v>
      </c>
      <c r="AX99" t="b">
        <f t="shared" ref="AX99:AX128" si="156">SUM(AQ99:AV99)=H99</f>
        <v>1</v>
      </c>
    </row>
    <row r="100" spans="1:50" x14ac:dyDescent="0.25">
      <c r="A100" s="1">
        <v>98</v>
      </c>
      <c r="B100" s="10">
        <v>40816</v>
      </c>
      <c r="C100" s="5">
        <v>9</v>
      </c>
      <c r="D100" s="13">
        <v>14</v>
      </c>
      <c r="E100" s="57" t="str">
        <f t="shared" si="125"/>
        <v>BD Ultrafine Insulin Syringes / 30G/ 0.5cc  [usage = 30 syringes per month]</v>
      </c>
      <c r="F100" t="str">
        <f t="shared" si="126"/>
        <v>Medical Supplies</v>
      </c>
      <c r="G100" t="str">
        <f t="shared" si="127"/>
        <v>Plan Deductible Only</v>
      </c>
      <c r="H100" s="109">
        <f t="shared" si="128"/>
        <v>42.66</v>
      </c>
      <c r="I100" s="109">
        <f t="shared" si="129"/>
        <v>0</v>
      </c>
      <c r="J100" s="109">
        <f t="shared" si="130"/>
        <v>42.66</v>
      </c>
      <c r="K100" s="5" t="str">
        <f t="shared" si="131"/>
        <v>None</v>
      </c>
      <c r="L100">
        <f t="shared" si="132"/>
        <v>0</v>
      </c>
      <c r="M100" s="3">
        <f t="shared" si="133"/>
        <v>0</v>
      </c>
      <c r="N100" s="5" t="str">
        <f t="shared" si="134"/>
        <v>None</v>
      </c>
      <c r="O100">
        <f t="shared" si="135"/>
        <v>9</v>
      </c>
      <c r="P100" s="3">
        <f t="shared" si="136"/>
        <v>0</v>
      </c>
      <c r="Q100" s="8">
        <f t="shared" si="91"/>
        <v>0</v>
      </c>
      <c r="R100" s="16">
        <f t="shared" si="92"/>
        <v>0</v>
      </c>
      <c r="S100" s="8">
        <f t="shared" si="93"/>
        <v>0</v>
      </c>
      <c r="T100" s="8">
        <f t="shared" si="137"/>
        <v>42.66</v>
      </c>
      <c r="U100" s="5" t="b">
        <f t="shared" si="95"/>
        <v>1</v>
      </c>
      <c r="V100" s="8">
        <f t="shared" si="138"/>
        <v>0</v>
      </c>
      <c r="W100" s="8">
        <f t="shared" si="139"/>
        <v>0</v>
      </c>
      <c r="X100" s="5" t="b">
        <f t="shared" si="98"/>
        <v>0</v>
      </c>
      <c r="Y100" s="8">
        <f t="shared" si="140"/>
        <v>0</v>
      </c>
      <c r="Z100" s="8">
        <f t="shared" si="141"/>
        <v>0</v>
      </c>
      <c r="AA100" s="5" t="b">
        <f t="shared" si="101"/>
        <v>0</v>
      </c>
      <c r="AB100" s="8">
        <f t="shared" si="142"/>
        <v>0</v>
      </c>
      <c r="AC100" s="8">
        <f t="shared" si="143"/>
        <v>0</v>
      </c>
      <c r="AD100" s="5" t="b">
        <f t="shared" si="144"/>
        <v>0</v>
      </c>
      <c r="AE100" s="8">
        <f t="shared" si="145"/>
        <v>0</v>
      </c>
      <c r="AF100" s="8">
        <f t="shared" si="146"/>
        <v>0</v>
      </c>
      <c r="AG100" s="5" t="b">
        <f t="shared" si="107"/>
        <v>0</v>
      </c>
      <c r="AH100" s="8">
        <f t="shared" si="147"/>
        <v>0</v>
      </c>
      <c r="AI100" s="8">
        <f t="shared" si="148"/>
        <v>0</v>
      </c>
      <c r="AJ100" s="24">
        <f t="shared" si="149"/>
        <v>0</v>
      </c>
      <c r="AK100" s="8">
        <f t="shared" si="111"/>
        <v>42.66</v>
      </c>
      <c r="AL100" s="8">
        <f t="shared" si="112"/>
        <v>0</v>
      </c>
      <c r="AM100" s="183" t="b">
        <f t="shared" si="113"/>
        <v>1</v>
      </c>
      <c r="AN100" s="8">
        <f t="shared" si="114"/>
        <v>0</v>
      </c>
      <c r="AO100" s="54">
        <f t="shared" si="115"/>
        <v>3139.9999999999995</v>
      </c>
      <c r="AP100" s="8">
        <f t="shared" si="116"/>
        <v>0</v>
      </c>
      <c r="AQ100" s="8">
        <f t="shared" ref="AQ100:AQ128" si="157">IF(CoveredAmt&lt;SubscriberPaymentAfterOPL,0,CoveredAmt-SubscriberPaymentAfterOPL)</f>
        <v>42.66</v>
      </c>
      <c r="AR100" s="106">
        <f t="shared" si="150"/>
        <v>0</v>
      </c>
      <c r="AS100" s="106">
        <f t="shared" si="151"/>
        <v>0</v>
      </c>
      <c r="AT100" s="106">
        <f t="shared" si="152"/>
        <v>0</v>
      </c>
      <c r="AU100" s="106">
        <f t="shared" si="153"/>
        <v>0</v>
      </c>
      <c r="AV100" s="106">
        <f t="shared" si="154"/>
        <v>0</v>
      </c>
      <c r="AW100" t="b">
        <f t="shared" si="155"/>
        <v>1</v>
      </c>
      <c r="AX100" t="b">
        <f t="shared" si="156"/>
        <v>1</v>
      </c>
    </row>
    <row r="101" spans="1:50" x14ac:dyDescent="0.25">
      <c r="A101" s="1">
        <v>99</v>
      </c>
      <c r="B101" s="10">
        <v>40816</v>
      </c>
      <c r="C101" s="5">
        <v>9</v>
      </c>
      <c r="D101" s="13">
        <v>32</v>
      </c>
      <c r="E101" s="57" t="str">
        <f t="shared" si="125"/>
        <v>METFORMIN HCL 850 MG TABLET</v>
      </c>
      <c r="F101" t="str">
        <f t="shared" si="126"/>
        <v>Prescription Drugs: Generic</v>
      </c>
      <c r="G101" t="str">
        <f t="shared" si="127"/>
        <v>Rx Deductible+Co-pay</v>
      </c>
      <c r="H101" s="109">
        <f t="shared" si="128"/>
        <v>9.19</v>
      </c>
      <c r="I101" s="109">
        <f t="shared" si="129"/>
        <v>0</v>
      </c>
      <c r="J101" s="109">
        <f t="shared" si="130"/>
        <v>9.19</v>
      </c>
      <c r="K101" s="5" t="str">
        <f t="shared" si="131"/>
        <v>None</v>
      </c>
      <c r="L101">
        <f t="shared" si="132"/>
        <v>0</v>
      </c>
      <c r="M101" s="3">
        <f t="shared" si="133"/>
        <v>0</v>
      </c>
      <c r="N101" s="5" t="str">
        <f t="shared" si="134"/>
        <v>None</v>
      </c>
      <c r="O101">
        <f t="shared" si="135"/>
        <v>9</v>
      </c>
      <c r="P101" s="3">
        <f t="shared" si="136"/>
        <v>0</v>
      </c>
      <c r="Q101" s="8">
        <f t="shared" si="91"/>
        <v>10</v>
      </c>
      <c r="R101" s="16">
        <f t="shared" si="92"/>
        <v>0</v>
      </c>
      <c r="S101" s="8">
        <f t="shared" si="93"/>
        <v>0</v>
      </c>
      <c r="T101" s="8">
        <f t="shared" si="137"/>
        <v>0</v>
      </c>
      <c r="U101" s="5" t="b">
        <f t="shared" si="95"/>
        <v>0</v>
      </c>
      <c r="V101" s="8">
        <f t="shared" si="138"/>
        <v>0</v>
      </c>
      <c r="W101" s="8">
        <f t="shared" si="139"/>
        <v>0</v>
      </c>
      <c r="X101" s="5" t="b">
        <f t="shared" si="98"/>
        <v>1</v>
      </c>
      <c r="Y101" s="8">
        <f t="shared" si="140"/>
        <v>0</v>
      </c>
      <c r="Z101" s="8">
        <f t="shared" si="141"/>
        <v>0</v>
      </c>
      <c r="AA101" s="5" t="b">
        <f t="shared" si="101"/>
        <v>0</v>
      </c>
      <c r="AB101" s="8">
        <f t="shared" si="142"/>
        <v>0</v>
      </c>
      <c r="AC101" s="8">
        <f t="shared" si="143"/>
        <v>0</v>
      </c>
      <c r="AD101" s="5" t="b">
        <f t="shared" si="144"/>
        <v>0</v>
      </c>
      <c r="AE101" s="8">
        <f t="shared" si="145"/>
        <v>0</v>
      </c>
      <c r="AF101" s="8">
        <f t="shared" si="146"/>
        <v>0</v>
      </c>
      <c r="AG101" s="5" t="b">
        <f t="shared" si="107"/>
        <v>0</v>
      </c>
      <c r="AH101" s="8">
        <f t="shared" si="147"/>
        <v>0</v>
      </c>
      <c r="AI101" s="8">
        <f t="shared" si="148"/>
        <v>0</v>
      </c>
      <c r="AJ101" s="24">
        <f t="shared" si="149"/>
        <v>0</v>
      </c>
      <c r="AK101" s="8">
        <f t="shared" si="111"/>
        <v>9.19</v>
      </c>
      <c r="AL101" s="8">
        <f t="shared" si="112"/>
        <v>10</v>
      </c>
      <c r="AM101" s="183" t="b">
        <f t="shared" si="113"/>
        <v>1</v>
      </c>
      <c r="AN101" s="8">
        <f t="shared" si="114"/>
        <v>10</v>
      </c>
      <c r="AO101" s="54">
        <f t="shared" si="115"/>
        <v>3139.9999999999995</v>
      </c>
      <c r="AP101" s="8">
        <f t="shared" si="116"/>
        <v>10</v>
      </c>
      <c r="AQ101" s="8">
        <f t="shared" si="157"/>
        <v>0</v>
      </c>
      <c r="AR101" s="106">
        <f t="shared" si="150"/>
        <v>0</v>
      </c>
      <c r="AS101" s="106">
        <f t="shared" si="151"/>
        <v>0</v>
      </c>
      <c r="AT101" s="106">
        <f t="shared" si="152"/>
        <v>10</v>
      </c>
      <c r="AU101" s="106">
        <f t="shared" si="153"/>
        <v>0</v>
      </c>
      <c r="AV101" s="106">
        <f t="shared" si="154"/>
        <v>0</v>
      </c>
      <c r="AW101" t="b">
        <f t="shared" si="155"/>
        <v>1</v>
      </c>
      <c r="AX101" t="b">
        <f t="shared" si="156"/>
        <v>0</v>
      </c>
    </row>
    <row r="102" spans="1:50" x14ac:dyDescent="0.25">
      <c r="A102" s="1">
        <v>100</v>
      </c>
      <c r="B102" s="10">
        <v>40816</v>
      </c>
      <c r="C102" s="5">
        <v>9</v>
      </c>
      <c r="D102" s="13">
        <v>19</v>
      </c>
      <c r="E102" s="57" t="str">
        <f t="shared" si="125"/>
        <v>Ramipril 10mg (Rx) [1 QD; #30 pills/month]</v>
      </c>
      <c r="F102" t="str">
        <f t="shared" si="126"/>
        <v>Prescription Drugs: Generic</v>
      </c>
      <c r="G102" t="str">
        <f t="shared" si="127"/>
        <v>Rx Deductible+Co-pay</v>
      </c>
      <c r="H102" s="109">
        <f t="shared" si="128"/>
        <v>15.92</v>
      </c>
      <c r="I102" s="109">
        <f t="shared" si="129"/>
        <v>0</v>
      </c>
      <c r="J102" s="109">
        <f t="shared" si="130"/>
        <v>15.92</v>
      </c>
      <c r="K102" s="5" t="str">
        <f t="shared" si="131"/>
        <v>None</v>
      </c>
      <c r="L102">
        <f t="shared" si="132"/>
        <v>0</v>
      </c>
      <c r="M102" s="3">
        <f t="shared" si="133"/>
        <v>0</v>
      </c>
      <c r="N102" s="5" t="str">
        <f t="shared" si="134"/>
        <v>None</v>
      </c>
      <c r="O102">
        <f t="shared" si="135"/>
        <v>9</v>
      </c>
      <c r="P102" s="3">
        <f t="shared" si="136"/>
        <v>0</v>
      </c>
      <c r="Q102" s="8">
        <f t="shared" si="91"/>
        <v>10</v>
      </c>
      <c r="R102" s="16">
        <f t="shared" si="92"/>
        <v>0</v>
      </c>
      <c r="S102" s="8">
        <f t="shared" si="93"/>
        <v>0</v>
      </c>
      <c r="T102" s="8">
        <f t="shared" si="137"/>
        <v>5.92</v>
      </c>
      <c r="U102" s="5" t="b">
        <f t="shared" si="95"/>
        <v>0</v>
      </c>
      <c r="V102" s="8">
        <f t="shared" si="138"/>
        <v>0</v>
      </c>
      <c r="W102" s="8">
        <f t="shared" si="139"/>
        <v>0</v>
      </c>
      <c r="X102" s="5" t="b">
        <f t="shared" si="98"/>
        <v>1</v>
      </c>
      <c r="Y102" s="8">
        <f t="shared" si="140"/>
        <v>0</v>
      </c>
      <c r="Z102" s="8">
        <f t="shared" si="141"/>
        <v>0</v>
      </c>
      <c r="AA102" s="5" t="b">
        <f t="shared" si="101"/>
        <v>0</v>
      </c>
      <c r="AB102" s="8">
        <f t="shared" si="142"/>
        <v>0</v>
      </c>
      <c r="AC102" s="8">
        <f t="shared" si="143"/>
        <v>0</v>
      </c>
      <c r="AD102" s="5" t="b">
        <f t="shared" si="144"/>
        <v>0</v>
      </c>
      <c r="AE102" s="8">
        <f t="shared" si="145"/>
        <v>0</v>
      </c>
      <c r="AF102" s="8">
        <f t="shared" si="146"/>
        <v>0</v>
      </c>
      <c r="AG102" s="5" t="b">
        <f t="shared" si="107"/>
        <v>0</v>
      </c>
      <c r="AH102" s="8">
        <f t="shared" si="147"/>
        <v>0</v>
      </c>
      <c r="AI102" s="8">
        <f t="shared" si="148"/>
        <v>0</v>
      </c>
      <c r="AJ102" s="24">
        <f t="shared" si="149"/>
        <v>0</v>
      </c>
      <c r="AK102" s="8">
        <f t="shared" si="111"/>
        <v>15.92</v>
      </c>
      <c r="AL102" s="8">
        <f t="shared" si="112"/>
        <v>10</v>
      </c>
      <c r="AM102" s="183" t="b">
        <f t="shared" si="113"/>
        <v>1</v>
      </c>
      <c r="AN102" s="8">
        <f t="shared" si="114"/>
        <v>10</v>
      </c>
      <c r="AO102" s="54">
        <f t="shared" si="115"/>
        <v>3129.9999999999995</v>
      </c>
      <c r="AP102" s="8">
        <f t="shared" si="116"/>
        <v>10</v>
      </c>
      <c r="AQ102" s="8">
        <f t="shared" si="157"/>
        <v>5.92</v>
      </c>
      <c r="AR102" s="106">
        <f t="shared" si="150"/>
        <v>0</v>
      </c>
      <c r="AS102" s="106">
        <f t="shared" si="151"/>
        <v>0</v>
      </c>
      <c r="AT102" s="106">
        <f t="shared" si="152"/>
        <v>10</v>
      </c>
      <c r="AU102" s="106">
        <f t="shared" si="153"/>
        <v>0</v>
      </c>
      <c r="AV102" s="106">
        <f t="shared" si="154"/>
        <v>0</v>
      </c>
      <c r="AW102" t="b">
        <f t="shared" si="155"/>
        <v>1</v>
      </c>
      <c r="AX102" t="b">
        <f t="shared" si="156"/>
        <v>1</v>
      </c>
    </row>
    <row r="103" spans="1:50" x14ac:dyDescent="0.25">
      <c r="A103" s="1">
        <v>101</v>
      </c>
      <c r="B103" s="10">
        <v>40819</v>
      </c>
      <c r="C103" s="5">
        <v>10</v>
      </c>
      <c r="D103" s="13">
        <v>28</v>
      </c>
      <c r="E103" s="57" t="str">
        <f t="shared" si="125"/>
        <v xml:space="preserve">Immunization admin each add </v>
      </c>
      <c r="F103" t="str">
        <f t="shared" si="126"/>
        <v>Preventive Services &amp; Vaccines</v>
      </c>
      <c r="G103" t="str">
        <f t="shared" si="127"/>
        <v>No Cost Sharing</v>
      </c>
      <c r="H103" s="109">
        <f t="shared" si="128"/>
        <v>14.98</v>
      </c>
      <c r="I103" s="109">
        <f t="shared" si="129"/>
        <v>0</v>
      </c>
      <c r="J103" s="109">
        <f t="shared" si="130"/>
        <v>14.98</v>
      </c>
      <c r="K103" s="5" t="str">
        <f t="shared" si="131"/>
        <v>None</v>
      </c>
      <c r="L103">
        <f t="shared" si="132"/>
        <v>0</v>
      </c>
      <c r="M103" s="3">
        <f t="shared" si="133"/>
        <v>0</v>
      </c>
      <c r="N103" s="5" t="str">
        <f t="shared" si="134"/>
        <v>None</v>
      </c>
      <c r="O103">
        <f t="shared" si="135"/>
        <v>0</v>
      </c>
      <c r="P103" s="3">
        <f t="shared" si="136"/>
        <v>0</v>
      </c>
      <c r="Q103" s="8">
        <f t="shared" si="91"/>
        <v>0</v>
      </c>
      <c r="R103" s="16">
        <f t="shared" si="92"/>
        <v>0</v>
      </c>
      <c r="S103" s="8">
        <f t="shared" si="93"/>
        <v>0</v>
      </c>
      <c r="T103" s="8">
        <f t="shared" si="137"/>
        <v>14.98</v>
      </c>
      <c r="U103" s="5" t="b">
        <f t="shared" si="95"/>
        <v>0</v>
      </c>
      <c r="V103" s="8">
        <f t="shared" si="138"/>
        <v>0</v>
      </c>
      <c r="W103" s="8">
        <f t="shared" si="139"/>
        <v>0</v>
      </c>
      <c r="X103" s="5" t="b">
        <f t="shared" si="98"/>
        <v>0</v>
      </c>
      <c r="Y103" s="8">
        <f t="shared" si="140"/>
        <v>0</v>
      </c>
      <c r="Z103" s="8">
        <f t="shared" si="141"/>
        <v>0</v>
      </c>
      <c r="AA103" s="5" t="b">
        <f t="shared" si="101"/>
        <v>0</v>
      </c>
      <c r="AB103" s="8">
        <f t="shared" si="142"/>
        <v>0</v>
      </c>
      <c r="AC103" s="8">
        <f t="shared" si="143"/>
        <v>0</v>
      </c>
      <c r="AD103" s="5" t="b">
        <f t="shared" si="144"/>
        <v>0</v>
      </c>
      <c r="AE103" s="8">
        <f t="shared" si="145"/>
        <v>0</v>
      </c>
      <c r="AF103" s="8">
        <f t="shared" si="146"/>
        <v>0</v>
      </c>
      <c r="AG103" s="5" t="b">
        <f t="shared" si="107"/>
        <v>0</v>
      </c>
      <c r="AH103" s="8">
        <f t="shared" si="147"/>
        <v>0</v>
      </c>
      <c r="AI103" s="8">
        <f t="shared" si="148"/>
        <v>0</v>
      </c>
      <c r="AJ103" s="24">
        <f t="shared" si="149"/>
        <v>0</v>
      </c>
      <c r="AK103" s="8">
        <f t="shared" si="111"/>
        <v>14.98</v>
      </c>
      <c r="AL103" s="8">
        <f t="shared" si="112"/>
        <v>0</v>
      </c>
      <c r="AM103" s="183" t="b">
        <f t="shared" si="113"/>
        <v>1</v>
      </c>
      <c r="AN103" s="8">
        <f t="shared" si="114"/>
        <v>0</v>
      </c>
      <c r="AO103" s="54">
        <f t="shared" si="115"/>
        <v>3119.9999999999995</v>
      </c>
      <c r="AP103" s="8">
        <f t="shared" si="116"/>
        <v>0</v>
      </c>
      <c r="AQ103" s="8">
        <f t="shared" si="157"/>
        <v>14.98</v>
      </c>
      <c r="AR103" s="106">
        <f t="shared" si="150"/>
        <v>0</v>
      </c>
      <c r="AS103" s="106">
        <f t="shared" si="151"/>
        <v>0</v>
      </c>
      <c r="AT103" s="106">
        <f t="shared" si="152"/>
        <v>0</v>
      </c>
      <c r="AU103" s="106">
        <f t="shared" si="153"/>
        <v>0</v>
      </c>
      <c r="AV103" s="106">
        <f t="shared" si="154"/>
        <v>0</v>
      </c>
      <c r="AW103" t="b">
        <f t="shared" si="155"/>
        <v>1</v>
      </c>
      <c r="AX103" t="b">
        <f t="shared" si="156"/>
        <v>1</v>
      </c>
    </row>
    <row r="104" spans="1:50" x14ac:dyDescent="0.25">
      <c r="A104" s="1">
        <v>102</v>
      </c>
      <c r="B104" s="10">
        <v>40819</v>
      </c>
      <c r="C104" s="5">
        <v>10</v>
      </c>
      <c r="D104" s="13">
        <v>27</v>
      </c>
      <c r="E104" s="57" t="str">
        <f t="shared" si="125"/>
        <v>Immunization Admin ADMIN</v>
      </c>
      <c r="F104" t="str">
        <f t="shared" si="126"/>
        <v>Preventive Services &amp; Vaccines</v>
      </c>
      <c r="G104" t="str">
        <f t="shared" si="127"/>
        <v>No Cost Sharing</v>
      </c>
      <c r="H104" s="109">
        <f t="shared" si="128"/>
        <v>23</v>
      </c>
      <c r="I104" s="109">
        <f t="shared" si="129"/>
        <v>0</v>
      </c>
      <c r="J104" s="109">
        <f t="shared" si="130"/>
        <v>23</v>
      </c>
      <c r="K104" s="5" t="str">
        <f t="shared" si="131"/>
        <v>None</v>
      </c>
      <c r="L104">
        <f t="shared" si="132"/>
        <v>0</v>
      </c>
      <c r="M104" s="3">
        <f t="shared" si="133"/>
        <v>0</v>
      </c>
      <c r="N104" s="5" t="str">
        <f t="shared" si="134"/>
        <v>None</v>
      </c>
      <c r="O104">
        <f t="shared" si="135"/>
        <v>0</v>
      </c>
      <c r="P104" s="3">
        <f t="shared" si="136"/>
        <v>0</v>
      </c>
      <c r="Q104" s="8">
        <f t="shared" si="91"/>
        <v>0</v>
      </c>
      <c r="R104" s="16">
        <f t="shared" si="92"/>
        <v>0</v>
      </c>
      <c r="S104" s="8">
        <f t="shared" si="93"/>
        <v>0</v>
      </c>
      <c r="T104" s="8">
        <f t="shared" si="137"/>
        <v>23</v>
      </c>
      <c r="U104" s="5" t="b">
        <f t="shared" si="95"/>
        <v>0</v>
      </c>
      <c r="V104" s="8">
        <f t="shared" si="138"/>
        <v>0</v>
      </c>
      <c r="W104" s="8">
        <f t="shared" si="139"/>
        <v>0</v>
      </c>
      <c r="X104" s="5" t="b">
        <f t="shared" si="98"/>
        <v>0</v>
      </c>
      <c r="Y104" s="8">
        <f t="shared" si="140"/>
        <v>0</v>
      </c>
      <c r="Z104" s="8">
        <f t="shared" si="141"/>
        <v>0</v>
      </c>
      <c r="AA104" s="5" t="b">
        <f t="shared" si="101"/>
        <v>0</v>
      </c>
      <c r="AB104" s="8">
        <f t="shared" si="142"/>
        <v>0</v>
      </c>
      <c r="AC104" s="8">
        <f t="shared" si="143"/>
        <v>0</v>
      </c>
      <c r="AD104" s="5" t="b">
        <f t="shared" si="144"/>
        <v>0</v>
      </c>
      <c r="AE104" s="8">
        <f t="shared" si="145"/>
        <v>0</v>
      </c>
      <c r="AF104" s="8">
        <f t="shared" si="146"/>
        <v>0</v>
      </c>
      <c r="AG104" s="5" t="b">
        <f t="shared" si="107"/>
        <v>0</v>
      </c>
      <c r="AH104" s="8">
        <f t="shared" si="147"/>
        <v>0</v>
      </c>
      <c r="AI104" s="8">
        <f t="shared" si="148"/>
        <v>0</v>
      </c>
      <c r="AJ104" s="24">
        <f t="shared" si="149"/>
        <v>0</v>
      </c>
      <c r="AK104" s="8">
        <f t="shared" si="111"/>
        <v>23</v>
      </c>
      <c r="AL104" s="8">
        <f t="shared" si="112"/>
        <v>0</v>
      </c>
      <c r="AM104" s="183" t="b">
        <f t="shared" si="113"/>
        <v>1</v>
      </c>
      <c r="AN104" s="8">
        <f t="shared" si="114"/>
        <v>0</v>
      </c>
      <c r="AO104" s="54">
        <f t="shared" si="115"/>
        <v>3119.9999999999995</v>
      </c>
      <c r="AP104" s="8">
        <f t="shared" si="116"/>
        <v>0</v>
      </c>
      <c r="AQ104" s="8">
        <f t="shared" si="157"/>
        <v>23</v>
      </c>
      <c r="AR104" s="106">
        <f t="shared" si="150"/>
        <v>0</v>
      </c>
      <c r="AS104" s="106">
        <f t="shared" si="151"/>
        <v>0</v>
      </c>
      <c r="AT104" s="106">
        <f t="shared" si="152"/>
        <v>0</v>
      </c>
      <c r="AU104" s="106">
        <f t="shared" si="153"/>
        <v>0</v>
      </c>
      <c r="AV104" s="106">
        <f t="shared" si="154"/>
        <v>0</v>
      </c>
      <c r="AW104" t="b">
        <f t="shared" si="155"/>
        <v>1</v>
      </c>
      <c r="AX104" t="b">
        <f t="shared" si="156"/>
        <v>1</v>
      </c>
    </row>
    <row r="105" spans="1:50" x14ac:dyDescent="0.25">
      <c r="A105" s="1">
        <v>103</v>
      </c>
      <c r="B105" s="10">
        <v>40819</v>
      </c>
      <c r="C105" s="5">
        <v>10</v>
      </c>
      <c r="D105" s="13">
        <v>29</v>
      </c>
      <c r="E105" s="57" t="str">
        <f t="shared" si="125"/>
        <v>Pneumococcal vacc 7 val im</v>
      </c>
      <c r="F105" t="str">
        <f t="shared" si="126"/>
        <v>Preventive Services &amp; Vaccines</v>
      </c>
      <c r="G105" t="str">
        <f t="shared" si="127"/>
        <v>No Cost Sharing</v>
      </c>
      <c r="H105" s="109">
        <f t="shared" si="128"/>
        <v>97.86</v>
      </c>
      <c r="I105" s="109">
        <f t="shared" si="129"/>
        <v>0</v>
      </c>
      <c r="J105" s="109">
        <f t="shared" si="130"/>
        <v>97.86</v>
      </c>
      <c r="K105" s="5" t="str">
        <f t="shared" si="131"/>
        <v>None</v>
      </c>
      <c r="L105">
        <f t="shared" si="132"/>
        <v>0</v>
      </c>
      <c r="M105" s="3">
        <f t="shared" si="133"/>
        <v>0</v>
      </c>
      <c r="N105" s="5" t="str">
        <f t="shared" si="134"/>
        <v>None</v>
      </c>
      <c r="O105">
        <f t="shared" si="135"/>
        <v>0</v>
      </c>
      <c r="P105" s="3">
        <f t="shared" si="136"/>
        <v>0</v>
      </c>
      <c r="Q105" s="8">
        <f t="shared" si="91"/>
        <v>0</v>
      </c>
      <c r="R105" s="16">
        <f t="shared" si="92"/>
        <v>0</v>
      </c>
      <c r="S105" s="8">
        <f t="shared" si="93"/>
        <v>0</v>
      </c>
      <c r="T105" s="8">
        <f t="shared" si="137"/>
        <v>97.86</v>
      </c>
      <c r="U105" s="5" t="b">
        <f t="shared" si="95"/>
        <v>0</v>
      </c>
      <c r="V105" s="8">
        <f t="shared" si="138"/>
        <v>0</v>
      </c>
      <c r="W105" s="8">
        <f t="shared" si="139"/>
        <v>0</v>
      </c>
      <c r="X105" s="5" t="b">
        <f t="shared" si="98"/>
        <v>0</v>
      </c>
      <c r="Y105" s="8">
        <f t="shared" si="140"/>
        <v>0</v>
      </c>
      <c r="Z105" s="8">
        <f t="shared" si="141"/>
        <v>0</v>
      </c>
      <c r="AA105" s="5" t="b">
        <f t="shared" si="101"/>
        <v>0</v>
      </c>
      <c r="AB105" s="8">
        <f t="shared" si="142"/>
        <v>0</v>
      </c>
      <c r="AC105" s="8">
        <f t="shared" si="143"/>
        <v>0</v>
      </c>
      <c r="AD105" s="5" t="b">
        <f t="shared" si="144"/>
        <v>0</v>
      </c>
      <c r="AE105" s="8">
        <f t="shared" si="145"/>
        <v>0</v>
      </c>
      <c r="AF105" s="8">
        <f t="shared" si="146"/>
        <v>0</v>
      </c>
      <c r="AG105" s="5" t="b">
        <f t="shared" si="107"/>
        <v>0</v>
      </c>
      <c r="AH105" s="8">
        <f t="shared" si="147"/>
        <v>0</v>
      </c>
      <c r="AI105" s="8">
        <f t="shared" si="148"/>
        <v>0</v>
      </c>
      <c r="AJ105" s="24">
        <f t="shared" si="149"/>
        <v>0</v>
      </c>
      <c r="AK105" s="8">
        <f t="shared" si="111"/>
        <v>97.86</v>
      </c>
      <c r="AL105" s="8">
        <f t="shared" si="112"/>
        <v>0</v>
      </c>
      <c r="AM105" s="183" t="b">
        <f t="shared" si="113"/>
        <v>1</v>
      </c>
      <c r="AN105" s="8">
        <f t="shared" si="114"/>
        <v>0</v>
      </c>
      <c r="AO105" s="54">
        <f t="shared" si="115"/>
        <v>3119.9999999999995</v>
      </c>
      <c r="AP105" s="8">
        <f t="shared" si="116"/>
        <v>0</v>
      </c>
      <c r="AQ105" s="8">
        <f t="shared" si="157"/>
        <v>97.86</v>
      </c>
      <c r="AR105" s="106">
        <f t="shared" si="150"/>
        <v>0</v>
      </c>
      <c r="AS105" s="106">
        <f t="shared" si="151"/>
        <v>0</v>
      </c>
      <c r="AT105" s="106">
        <f t="shared" si="152"/>
        <v>0</v>
      </c>
      <c r="AU105" s="106">
        <f t="shared" si="153"/>
        <v>0</v>
      </c>
      <c r="AV105" s="106">
        <f t="shared" si="154"/>
        <v>0</v>
      </c>
      <c r="AW105" t="b">
        <f t="shared" si="155"/>
        <v>1</v>
      </c>
      <c r="AX105" t="b">
        <f t="shared" si="156"/>
        <v>1</v>
      </c>
    </row>
    <row r="106" spans="1:50" x14ac:dyDescent="0.25">
      <c r="A106" s="1">
        <v>104</v>
      </c>
      <c r="B106" s="10">
        <v>40819</v>
      </c>
      <c r="C106" s="5">
        <v>10</v>
      </c>
      <c r="D106" s="13">
        <v>30</v>
      </c>
      <c r="E106" s="57" t="str">
        <f t="shared" si="125"/>
        <v>Flu Vaccine No Preserv 3 &amp; &gt;</v>
      </c>
      <c r="F106" t="str">
        <f t="shared" si="126"/>
        <v>Preventive Services &amp; Vaccines</v>
      </c>
      <c r="G106" t="str">
        <f t="shared" si="127"/>
        <v>No Cost Sharing</v>
      </c>
      <c r="H106" s="109">
        <f t="shared" si="128"/>
        <v>14.27</v>
      </c>
      <c r="I106" s="109">
        <f t="shared" si="129"/>
        <v>0</v>
      </c>
      <c r="J106" s="109">
        <f t="shared" si="130"/>
        <v>14.27</v>
      </c>
      <c r="K106" s="5" t="str">
        <f t="shared" si="131"/>
        <v>None</v>
      </c>
      <c r="L106">
        <f t="shared" si="132"/>
        <v>0</v>
      </c>
      <c r="M106" s="3">
        <f t="shared" si="133"/>
        <v>0</v>
      </c>
      <c r="N106" s="5" t="str">
        <f t="shared" si="134"/>
        <v>None</v>
      </c>
      <c r="O106">
        <f t="shared" si="135"/>
        <v>0</v>
      </c>
      <c r="P106" s="3">
        <f t="shared" si="136"/>
        <v>0</v>
      </c>
      <c r="Q106" s="8">
        <f t="shared" si="91"/>
        <v>0</v>
      </c>
      <c r="R106" s="16">
        <f t="shared" si="92"/>
        <v>0</v>
      </c>
      <c r="S106" s="8">
        <f t="shared" si="93"/>
        <v>0</v>
      </c>
      <c r="T106" s="8">
        <f t="shared" si="137"/>
        <v>14.27</v>
      </c>
      <c r="U106" s="5" t="b">
        <f t="shared" si="95"/>
        <v>0</v>
      </c>
      <c r="V106" s="8">
        <f t="shared" si="138"/>
        <v>0</v>
      </c>
      <c r="W106" s="8">
        <f t="shared" si="139"/>
        <v>0</v>
      </c>
      <c r="X106" s="5" t="b">
        <f t="shared" si="98"/>
        <v>0</v>
      </c>
      <c r="Y106" s="8">
        <f t="shared" si="140"/>
        <v>0</v>
      </c>
      <c r="Z106" s="8">
        <f t="shared" si="141"/>
        <v>0</v>
      </c>
      <c r="AA106" s="5" t="b">
        <f t="shared" si="101"/>
        <v>0</v>
      </c>
      <c r="AB106" s="8">
        <f t="shared" si="142"/>
        <v>0</v>
      </c>
      <c r="AC106" s="8">
        <f t="shared" si="143"/>
        <v>0</v>
      </c>
      <c r="AD106" s="5" t="b">
        <f t="shared" si="144"/>
        <v>0</v>
      </c>
      <c r="AE106" s="8">
        <f t="shared" si="145"/>
        <v>0</v>
      </c>
      <c r="AF106" s="8">
        <f t="shared" si="146"/>
        <v>0</v>
      </c>
      <c r="AG106" s="5" t="b">
        <f t="shared" si="107"/>
        <v>0</v>
      </c>
      <c r="AH106" s="8">
        <f t="shared" si="147"/>
        <v>0</v>
      </c>
      <c r="AI106" s="8">
        <f t="shared" si="148"/>
        <v>0</v>
      </c>
      <c r="AJ106" s="24">
        <f t="shared" si="149"/>
        <v>0</v>
      </c>
      <c r="AK106" s="8">
        <f t="shared" si="111"/>
        <v>14.27</v>
      </c>
      <c r="AL106" s="8">
        <f t="shared" si="112"/>
        <v>0</v>
      </c>
      <c r="AM106" s="183" t="b">
        <f t="shared" si="113"/>
        <v>1</v>
      </c>
      <c r="AN106" s="8">
        <f t="shared" si="114"/>
        <v>0</v>
      </c>
      <c r="AO106" s="54">
        <f t="shared" si="115"/>
        <v>3119.9999999999995</v>
      </c>
      <c r="AP106" s="8">
        <f t="shared" si="116"/>
        <v>0</v>
      </c>
      <c r="AQ106" s="8">
        <f t="shared" si="157"/>
        <v>14.27</v>
      </c>
      <c r="AR106" s="106">
        <f t="shared" si="150"/>
        <v>0</v>
      </c>
      <c r="AS106" s="106">
        <f t="shared" si="151"/>
        <v>0</v>
      </c>
      <c r="AT106" s="106">
        <f t="shared" si="152"/>
        <v>0</v>
      </c>
      <c r="AU106" s="106">
        <f t="shared" si="153"/>
        <v>0</v>
      </c>
      <c r="AV106" s="106">
        <f t="shared" si="154"/>
        <v>0</v>
      </c>
      <c r="AW106" t="b">
        <f t="shared" si="155"/>
        <v>1</v>
      </c>
      <c r="AX106" t="b">
        <f t="shared" si="156"/>
        <v>1</v>
      </c>
    </row>
    <row r="107" spans="1:50" x14ac:dyDescent="0.25">
      <c r="A107" s="1">
        <v>105</v>
      </c>
      <c r="B107" s="10">
        <v>40819</v>
      </c>
      <c r="C107" s="5">
        <v>10</v>
      </c>
      <c r="D107" s="13">
        <v>33</v>
      </c>
      <c r="E107" s="57" t="str">
        <f t="shared" si="125"/>
        <v>Atorvastatin 20 MG tablet 90 CT</v>
      </c>
      <c r="F107" t="str">
        <f t="shared" si="126"/>
        <v>Prescription Drugs: Generic</v>
      </c>
      <c r="G107" t="str">
        <f t="shared" si="127"/>
        <v>Rx Deductible+Co-pay</v>
      </c>
      <c r="H107" s="109">
        <f t="shared" si="128"/>
        <v>25.88</v>
      </c>
      <c r="I107" s="109">
        <f t="shared" si="129"/>
        <v>0</v>
      </c>
      <c r="J107" s="109">
        <f t="shared" si="130"/>
        <v>25.88</v>
      </c>
      <c r="K107" s="5" t="str">
        <f t="shared" si="131"/>
        <v>None</v>
      </c>
      <c r="L107">
        <f t="shared" si="132"/>
        <v>0</v>
      </c>
      <c r="M107" s="3">
        <f t="shared" si="133"/>
        <v>0</v>
      </c>
      <c r="N107" s="5" t="str">
        <f t="shared" si="134"/>
        <v>None</v>
      </c>
      <c r="O107">
        <f t="shared" si="135"/>
        <v>3</v>
      </c>
      <c r="P107" s="3">
        <f t="shared" si="136"/>
        <v>0</v>
      </c>
      <c r="Q107" s="8">
        <f t="shared" si="91"/>
        <v>10</v>
      </c>
      <c r="R107" s="16">
        <f t="shared" si="92"/>
        <v>0</v>
      </c>
      <c r="S107" s="8">
        <f t="shared" si="93"/>
        <v>0</v>
      </c>
      <c r="T107" s="8">
        <f t="shared" si="137"/>
        <v>15.879999999999999</v>
      </c>
      <c r="U107" s="5" t="b">
        <f t="shared" si="95"/>
        <v>0</v>
      </c>
      <c r="V107" s="8">
        <f t="shared" si="138"/>
        <v>0</v>
      </c>
      <c r="W107" s="8">
        <f t="shared" si="139"/>
        <v>0</v>
      </c>
      <c r="X107" s="5" t="b">
        <f t="shared" si="98"/>
        <v>1</v>
      </c>
      <c r="Y107" s="8">
        <f t="shared" si="140"/>
        <v>0</v>
      </c>
      <c r="Z107" s="8">
        <f t="shared" si="141"/>
        <v>0</v>
      </c>
      <c r="AA107" s="5" t="b">
        <f t="shared" si="101"/>
        <v>0</v>
      </c>
      <c r="AB107" s="8">
        <f t="shared" si="142"/>
        <v>0</v>
      </c>
      <c r="AC107" s="8">
        <f t="shared" si="143"/>
        <v>0</v>
      </c>
      <c r="AD107" s="5" t="b">
        <f t="shared" si="144"/>
        <v>0</v>
      </c>
      <c r="AE107" s="8">
        <f t="shared" si="145"/>
        <v>0</v>
      </c>
      <c r="AF107" s="8">
        <f t="shared" si="146"/>
        <v>0</v>
      </c>
      <c r="AG107" s="5" t="b">
        <f t="shared" si="107"/>
        <v>0</v>
      </c>
      <c r="AH107" s="8">
        <f t="shared" si="147"/>
        <v>0</v>
      </c>
      <c r="AI107" s="8">
        <f t="shared" si="148"/>
        <v>0</v>
      </c>
      <c r="AJ107" s="24">
        <f t="shared" si="149"/>
        <v>0</v>
      </c>
      <c r="AK107" s="8">
        <f t="shared" si="111"/>
        <v>25.88</v>
      </c>
      <c r="AL107" s="8">
        <f t="shared" si="112"/>
        <v>10</v>
      </c>
      <c r="AM107" s="183" t="b">
        <f t="shared" si="113"/>
        <v>1</v>
      </c>
      <c r="AN107" s="8">
        <f t="shared" si="114"/>
        <v>10</v>
      </c>
      <c r="AO107" s="54">
        <f t="shared" si="115"/>
        <v>3119.9999999999995</v>
      </c>
      <c r="AP107" s="8">
        <f t="shared" si="116"/>
        <v>10</v>
      </c>
      <c r="AQ107" s="8">
        <f t="shared" si="157"/>
        <v>15.879999999999999</v>
      </c>
      <c r="AR107" s="106">
        <f t="shared" si="150"/>
        <v>0</v>
      </c>
      <c r="AS107" s="106">
        <f t="shared" si="151"/>
        <v>0</v>
      </c>
      <c r="AT107" s="106">
        <f t="shared" si="152"/>
        <v>10</v>
      </c>
      <c r="AU107" s="106">
        <f t="shared" si="153"/>
        <v>0</v>
      </c>
      <c r="AV107" s="106">
        <f t="shared" si="154"/>
        <v>0</v>
      </c>
      <c r="AW107" t="b">
        <f t="shared" si="155"/>
        <v>1</v>
      </c>
      <c r="AX107" t="b">
        <f t="shared" si="156"/>
        <v>1</v>
      </c>
    </row>
    <row r="108" spans="1:50" x14ac:dyDescent="0.25">
      <c r="A108" s="1">
        <v>106</v>
      </c>
      <c r="B108" s="10">
        <v>40819</v>
      </c>
      <c r="C108" s="5">
        <v>10</v>
      </c>
      <c r="D108" s="13">
        <v>16</v>
      </c>
      <c r="E108" s="57" t="str">
        <f t="shared" si="125"/>
        <v>Glycosylated Hemoglobin Test</v>
      </c>
      <c r="F108" t="str">
        <f t="shared" si="126"/>
        <v>Diagnostic Services: Laboratory</v>
      </c>
      <c r="G108" t="str">
        <f t="shared" si="127"/>
        <v>Plan Deductible Only</v>
      </c>
      <c r="H108" s="109">
        <f t="shared" si="128"/>
        <v>10.85</v>
      </c>
      <c r="I108" s="109">
        <f t="shared" si="129"/>
        <v>0</v>
      </c>
      <c r="J108" s="109">
        <f t="shared" si="130"/>
        <v>10.85</v>
      </c>
      <c r="K108" s="5" t="str">
        <f t="shared" si="131"/>
        <v>None</v>
      </c>
      <c r="L108">
        <f t="shared" si="132"/>
        <v>0</v>
      </c>
      <c r="M108" s="3">
        <f t="shared" si="133"/>
        <v>0</v>
      </c>
      <c r="N108" s="5" t="str">
        <f t="shared" si="134"/>
        <v>None</v>
      </c>
      <c r="O108">
        <f t="shared" si="135"/>
        <v>3</v>
      </c>
      <c r="P108" s="3">
        <f t="shared" si="136"/>
        <v>0</v>
      </c>
      <c r="Q108" s="8">
        <f t="shared" si="91"/>
        <v>0</v>
      </c>
      <c r="R108" s="16">
        <f t="shared" si="92"/>
        <v>0</v>
      </c>
      <c r="S108" s="8">
        <f t="shared" si="93"/>
        <v>0</v>
      </c>
      <c r="T108" s="8">
        <f t="shared" si="137"/>
        <v>10.85</v>
      </c>
      <c r="U108" s="5" t="b">
        <f t="shared" si="95"/>
        <v>1</v>
      </c>
      <c r="V108" s="8">
        <f t="shared" si="138"/>
        <v>0</v>
      </c>
      <c r="W108" s="8">
        <f t="shared" si="139"/>
        <v>0</v>
      </c>
      <c r="X108" s="5" t="b">
        <f t="shared" si="98"/>
        <v>0</v>
      </c>
      <c r="Y108" s="8">
        <f t="shared" si="140"/>
        <v>0</v>
      </c>
      <c r="Z108" s="8">
        <f t="shared" si="141"/>
        <v>0</v>
      </c>
      <c r="AA108" s="5" t="b">
        <f t="shared" si="101"/>
        <v>0</v>
      </c>
      <c r="AB108" s="8">
        <f t="shared" si="142"/>
        <v>0</v>
      </c>
      <c r="AC108" s="8">
        <f t="shared" si="143"/>
        <v>0</v>
      </c>
      <c r="AD108" s="5" t="b">
        <f t="shared" si="144"/>
        <v>0</v>
      </c>
      <c r="AE108" s="8">
        <f t="shared" si="145"/>
        <v>0</v>
      </c>
      <c r="AF108" s="8">
        <f t="shared" si="146"/>
        <v>0</v>
      </c>
      <c r="AG108" s="5" t="b">
        <f t="shared" si="107"/>
        <v>0</v>
      </c>
      <c r="AH108" s="8">
        <f t="shared" si="147"/>
        <v>0</v>
      </c>
      <c r="AI108" s="8">
        <f t="shared" si="148"/>
        <v>0</v>
      </c>
      <c r="AJ108" s="24">
        <f t="shared" si="149"/>
        <v>0</v>
      </c>
      <c r="AK108" s="8">
        <f t="shared" si="111"/>
        <v>10.85</v>
      </c>
      <c r="AL108" s="8">
        <f t="shared" si="112"/>
        <v>0</v>
      </c>
      <c r="AM108" s="183" t="b">
        <f t="shared" si="113"/>
        <v>1</v>
      </c>
      <c r="AN108" s="8">
        <f t="shared" si="114"/>
        <v>0</v>
      </c>
      <c r="AO108" s="54">
        <f t="shared" si="115"/>
        <v>3109.9999999999995</v>
      </c>
      <c r="AP108" s="8">
        <f t="shared" si="116"/>
        <v>0</v>
      </c>
      <c r="AQ108" s="8">
        <f t="shared" si="157"/>
        <v>10.85</v>
      </c>
      <c r="AR108" s="106">
        <f t="shared" si="150"/>
        <v>0</v>
      </c>
      <c r="AS108" s="106">
        <f t="shared" si="151"/>
        <v>0</v>
      </c>
      <c r="AT108" s="106">
        <f t="shared" si="152"/>
        <v>0</v>
      </c>
      <c r="AU108" s="106">
        <f t="shared" si="153"/>
        <v>0</v>
      </c>
      <c r="AV108" s="106">
        <f t="shared" si="154"/>
        <v>0</v>
      </c>
      <c r="AW108" t="b">
        <f t="shared" si="155"/>
        <v>1</v>
      </c>
      <c r="AX108" t="b">
        <f t="shared" si="156"/>
        <v>1</v>
      </c>
    </row>
    <row r="109" spans="1:50" x14ac:dyDescent="0.25">
      <c r="A109" s="1">
        <v>107</v>
      </c>
      <c r="B109" s="10">
        <v>40826</v>
      </c>
      <c r="C109" s="5">
        <v>10</v>
      </c>
      <c r="D109" s="13">
        <v>17</v>
      </c>
      <c r="E109" s="57" t="str">
        <f t="shared" si="125"/>
        <v>Insulin glargine 100 unit/ml injectable solution (Rx - 10ml vial)  [20 units QD; expires 28 days after first use]</v>
      </c>
      <c r="F109" t="str">
        <f t="shared" si="126"/>
        <v>Prescription Drugs: Branded</v>
      </c>
      <c r="G109" t="str">
        <f t="shared" si="127"/>
        <v>Rx Deductible+Co-pay</v>
      </c>
      <c r="H109" s="109">
        <f t="shared" si="128"/>
        <v>275.51</v>
      </c>
      <c r="I109" s="109">
        <f t="shared" si="129"/>
        <v>0</v>
      </c>
      <c r="J109" s="109">
        <f t="shared" si="130"/>
        <v>275.51</v>
      </c>
      <c r="K109" s="5" t="str">
        <f t="shared" si="131"/>
        <v>None</v>
      </c>
      <c r="L109">
        <f t="shared" si="132"/>
        <v>0</v>
      </c>
      <c r="M109" s="3">
        <f t="shared" si="133"/>
        <v>0</v>
      </c>
      <c r="N109" s="5" t="str">
        <f t="shared" si="134"/>
        <v>None</v>
      </c>
      <c r="O109">
        <f t="shared" si="135"/>
        <v>10</v>
      </c>
      <c r="P109" s="3">
        <f t="shared" si="136"/>
        <v>0</v>
      </c>
      <c r="Q109" s="8">
        <f t="shared" si="91"/>
        <v>30</v>
      </c>
      <c r="R109" s="16">
        <f t="shared" si="92"/>
        <v>0</v>
      </c>
      <c r="S109" s="8">
        <f t="shared" si="93"/>
        <v>0</v>
      </c>
      <c r="T109" s="8">
        <f t="shared" si="137"/>
        <v>245.51</v>
      </c>
      <c r="U109" s="5" t="b">
        <f t="shared" si="95"/>
        <v>0</v>
      </c>
      <c r="V109" s="8">
        <f t="shared" si="138"/>
        <v>0</v>
      </c>
      <c r="W109" s="8">
        <f t="shared" si="139"/>
        <v>0</v>
      </c>
      <c r="X109" s="5" t="b">
        <f t="shared" si="98"/>
        <v>1</v>
      </c>
      <c r="Y109" s="8">
        <f t="shared" si="140"/>
        <v>0</v>
      </c>
      <c r="Z109" s="8">
        <f t="shared" si="141"/>
        <v>0</v>
      </c>
      <c r="AA109" s="5" t="b">
        <f t="shared" si="101"/>
        <v>0</v>
      </c>
      <c r="AB109" s="8">
        <f t="shared" si="142"/>
        <v>0</v>
      </c>
      <c r="AC109" s="8">
        <f t="shared" si="143"/>
        <v>0</v>
      </c>
      <c r="AD109" s="5" t="b">
        <f t="shared" si="144"/>
        <v>0</v>
      </c>
      <c r="AE109" s="8">
        <f t="shared" si="145"/>
        <v>0</v>
      </c>
      <c r="AF109" s="8">
        <f t="shared" si="146"/>
        <v>0</v>
      </c>
      <c r="AG109" s="5" t="b">
        <f t="shared" si="107"/>
        <v>0</v>
      </c>
      <c r="AH109" s="8">
        <f t="shared" si="147"/>
        <v>0</v>
      </c>
      <c r="AI109" s="8">
        <f t="shared" si="148"/>
        <v>0</v>
      </c>
      <c r="AJ109" s="24">
        <f t="shared" si="149"/>
        <v>0</v>
      </c>
      <c r="AK109" s="8">
        <f t="shared" si="111"/>
        <v>275.51</v>
      </c>
      <c r="AL109" s="8">
        <f t="shared" si="112"/>
        <v>30</v>
      </c>
      <c r="AM109" s="183" t="b">
        <f t="shared" si="113"/>
        <v>1</v>
      </c>
      <c r="AN109" s="8">
        <f t="shared" si="114"/>
        <v>30</v>
      </c>
      <c r="AO109" s="54">
        <f t="shared" si="115"/>
        <v>3109.9999999999995</v>
      </c>
      <c r="AP109" s="8">
        <f t="shared" si="116"/>
        <v>30</v>
      </c>
      <c r="AQ109" s="8">
        <f t="shared" si="157"/>
        <v>245.51</v>
      </c>
      <c r="AR109" s="106">
        <f t="shared" si="150"/>
        <v>0</v>
      </c>
      <c r="AS109" s="106">
        <f t="shared" si="151"/>
        <v>0</v>
      </c>
      <c r="AT109" s="106">
        <f t="shared" si="152"/>
        <v>30</v>
      </c>
      <c r="AU109" s="106">
        <f t="shared" si="153"/>
        <v>0</v>
      </c>
      <c r="AV109" s="106">
        <f t="shared" si="154"/>
        <v>0</v>
      </c>
      <c r="AW109" t="b">
        <f t="shared" si="155"/>
        <v>1</v>
      </c>
      <c r="AX109" t="b">
        <f t="shared" si="156"/>
        <v>1</v>
      </c>
    </row>
    <row r="110" spans="1:50" x14ac:dyDescent="0.25">
      <c r="A110" s="1">
        <v>108</v>
      </c>
      <c r="B110" s="10">
        <v>40846</v>
      </c>
      <c r="C110" s="5">
        <v>10</v>
      </c>
      <c r="D110" s="13">
        <v>25</v>
      </c>
      <c r="E110" s="57" t="str">
        <f t="shared" si="125"/>
        <v>Alcohol swabs (OTC - box of 100)  [usage = 3 wipes/day; 90 wipes/month]</v>
      </c>
      <c r="F110" t="str">
        <f t="shared" si="126"/>
        <v>Over-the-counter Drugs</v>
      </c>
      <c r="G110" t="str">
        <f t="shared" si="127"/>
        <v>Not Covered</v>
      </c>
      <c r="H110" s="109">
        <f t="shared" si="128"/>
        <v>2.6074999999999999</v>
      </c>
      <c r="I110" s="109">
        <f t="shared" si="129"/>
        <v>2.6074999999999999</v>
      </c>
      <c r="J110" s="109">
        <f t="shared" si="130"/>
        <v>0</v>
      </c>
      <c r="K110" s="5" t="str">
        <f t="shared" si="131"/>
        <v>None</v>
      </c>
      <c r="L110">
        <f t="shared" si="132"/>
        <v>0</v>
      </c>
      <c r="M110" s="3">
        <f t="shared" si="133"/>
        <v>0</v>
      </c>
      <c r="N110" s="5" t="str">
        <f t="shared" si="134"/>
        <v>None</v>
      </c>
      <c r="O110">
        <f t="shared" si="135"/>
        <v>10</v>
      </c>
      <c r="P110" s="3">
        <f t="shared" si="136"/>
        <v>0</v>
      </c>
      <c r="Q110" s="8">
        <f t="shared" si="91"/>
        <v>0</v>
      </c>
      <c r="R110" s="16">
        <f t="shared" si="92"/>
        <v>0</v>
      </c>
      <c r="S110" s="8">
        <f t="shared" si="93"/>
        <v>0</v>
      </c>
      <c r="T110" s="8">
        <f t="shared" si="137"/>
        <v>0</v>
      </c>
      <c r="U110" s="5" t="b">
        <f t="shared" si="95"/>
        <v>0</v>
      </c>
      <c r="V110" s="8">
        <f t="shared" si="138"/>
        <v>0</v>
      </c>
      <c r="W110" s="8">
        <f t="shared" si="139"/>
        <v>0</v>
      </c>
      <c r="X110" s="5" t="b">
        <f t="shared" si="98"/>
        <v>0</v>
      </c>
      <c r="Y110" s="8">
        <f t="shared" si="140"/>
        <v>0</v>
      </c>
      <c r="Z110" s="8">
        <f t="shared" si="141"/>
        <v>0</v>
      </c>
      <c r="AA110" s="5" t="b">
        <f t="shared" si="101"/>
        <v>0</v>
      </c>
      <c r="AB110" s="8">
        <f t="shared" si="142"/>
        <v>0</v>
      </c>
      <c r="AC110" s="8">
        <f t="shared" si="143"/>
        <v>0</v>
      </c>
      <c r="AD110" s="5" t="b">
        <f t="shared" si="144"/>
        <v>0</v>
      </c>
      <c r="AE110" s="8">
        <f t="shared" si="145"/>
        <v>0</v>
      </c>
      <c r="AF110" s="8">
        <f t="shared" si="146"/>
        <v>0</v>
      </c>
      <c r="AG110" s="5" t="b">
        <f t="shared" si="107"/>
        <v>0</v>
      </c>
      <c r="AH110" s="8">
        <f t="shared" si="147"/>
        <v>0</v>
      </c>
      <c r="AI110" s="8">
        <f t="shared" si="148"/>
        <v>0</v>
      </c>
      <c r="AJ110" s="24">
        <f t="shared" si="149"/>
        <v>0</v>
      </c>
      <c r="AK110" s="8">
        <f t="shared" si="111"/>
        <v>0</v>
      </c>
      <c r="AL110" s="8">
        <f t="shared" si="112"/>
        <v>0</v>
      </c>
      <c r="AM110" s="183" t="b">
        <f t="shared" si="113"/>
        <v>0</v>
      </c>
      <c r="AN110" s="8">
        <f t="shared" si="114"/>
        <v>0</v>
      </c>
      <c r="AO110" s="54">
        <f t="shared" si="115"/>
        <v>0</v>
      </c>
      <c r="AP110" s="8">
        <f t="shared" si="116"/>
        <v>0</v>
      </c>
      <c r="AQ110" s="8">
        <f t="shared" si="157"/>
        <v>0</v>
      </c>
      <c r="AR110" s="106">
        <f t="shared" si="150"/>
        <v>2.6074999999999999</v>
      </c>
      <c r="AS110" s="106">
        <f t="shared" si="151"/>
        <v>0</v>
      </c>
      <c r="AT110" s="106">
        <f t="shared" si="152"/>
        <v>0</v>
      </c>
      <c r="AU110" s="106">
        <f t="shared" si="153"/>
        <v>0</v>
      </c>
      <c r="AV110" s="106">
        <f t="shared" si="154"/>
        <v>0</v>
      </c>
      <c r="AW110" t="b">
        <f t="shared" si="155"/>
        <v>1</v>
      </c>
      <c r="AX110" t="b">
        <f t="shared" si="156"/>
        <v>1</v>
      </c>
    </row>
    <row r="111" spans="1:50" x14ac:dyDescent="0.25">
      <c r="A111" s="1">
        <v>109</v>
      </c>
      <c r="B111" s="10">
        <v>40846</v>
      </c>
      <c r="C111" s="5">
        <v>10</v>
      </c>
      <c r="D111" s="13">
        <v>14</v>
      </c>
      <c r="E111" s="57" t="str">
        <f t="shared" si="125"/>
        <v>BD Ultrafine Insulin Syringes / 30G/ 0.5cc  [usage = 30 syringes per month]</v>
      </c>
      <c r="F111" t="str">
        <f t="shared" si="126"/>
        <v>Medical Supplies</v>
      </c>
      <c r="G111" t="str">
        <f t="shared" si="127"/>
        <v>Plan Deductible Only</v>
      </c>
      <c r="H111" s="109">
        <f t="shared" si="128"/>
        <v>42.66</v>
      </c>
      <c r="I111" s="109">
        <f t="shared" si="129"/>
        <v>0</v>
      </c>
      <c r="J111" s="109">
        <f t="shared" si="130"/>
        <v>42.66</v>
      </c>
      <c r="K111" s="5" t="str">
        <f t="shared" si="131"/>
        <v>None</v>
      </c>
      <c r="L111">
        <f t="shared" si="132"/>
        <v>0</v>
      </c>
      <c r="M111" s="3">
        <f t="shared" si="133"/>
        <v>0</v>
      </c>
      <c r="N111" s="5" t="str">
        <f t="shared" si="134"/>
        <v>None</v>
      </c>
      <c r="O111">
        <f t="shared" si="135"/>
        <v>10</v>
      </c>
      <c r="P111" s="3">
        <f t="shared" si="136"/>
        <v>0</v>
      </c>
      <c r="Q111" s="8">
        <f t="shared" si="91"/>
        <v>0</v>
      </c>
      <c r="R111" s="16">
        <f t="shared" si="92"/>
        <v>0</v>
      </c>
      <c r="S111" s="8">
        <f t="shared" si="93"/>
        <v>0</v>
      </c>
      <c r="T111" s="8">
        <f t="shared" si="137"/>
        <v>42.66</v>
      </c>
      <c r="U111" s="5" t="b">
        <f t="shared" si="95"/>
        <v>1</v>
      </c>
      <c r="V111" s="8">
        <f t="shared" si="138"/>
        <v>0</v>
      </c>
      <c r="W111" s="8">
        <f t="shared" si="139"/>
        <v>0</v>
      </c>
      <c r="X111" s="5" t="b">
        <f t="shared" si="98"/>
        <v>0</v>
      </c>
      <c r="Y111" s="8">
        <f t="shared" si="140"/>
        <v>0</v>
      </c>
      <c r="Z111" s="8">
        <f t="shared" si="141"/>
        <v>0</v>
      </c>
      <c r="AA111" s="5" t="b">
        <f t="shared" si="101"/>
        <v>0</v>
      </c>
      <c r="AB111" s="8">
        <f t="shared" si="142"/>
        <v>0</v>
      </c>
      <c r="AC111" s="8">
        <f t="shared" si="143"/>
        <v>0</v>
      </c>
      <c r="AD111" s="5" t="b">
        <f t="shared" si="144"/>
        <v>0</v>
      </c>
      <c r="AE111" s="8">
        <f t="shared" si="145"/>
        <v>0</v>
      </c>
      <c r="AF111" s="8">
        <f t="shared" si="146"/>
        <v>0</v>
      </c>
      <c r="AG111" s="5" t="b">
        <f t="shared" si="107"/>
        <v>0</v>
      </c>
      <c r="AH111" s="8">
        <f t="shared" si="147"/>
        <v>0</v>
      </c>
      <c r="AI111" s="8">
        <f t="shared" si="148"/>
        <v>0</v>
      </c>
      <c r="AJ111" s="24">
        <f t="shared" si="149"/>
        <v>0</v>
      </c>
      <c r="AK111" s="8">
        <f t="shared" si="111"/>
        <v>42.66</v>
      </c>
      <c r="AL111" s="8">
        <f t="shared" si="112"/>
        <v>0</v>
      </c>
      <c r="AM111" s="183" t="b">
        <f t="shared" si="113"/>
        <v>1</v>
      </c>
      <c r="AN111" s="8">
        <f t="shared" si="114"/>
        <v>0</v>
      </c>
      <c r="AO111" s="54">
        <f t="shared" si="115"/>
        <v>3079.9999999999995</v>
      </c>
      <c r="AP111" s="8">
        <f t="shared" si="116"/>
        <v>0</v>
      </c>
      <c r="AQ111" s="8">
        <f t="shared" si="157"/>
        <v>42.66</v>
      </c>
      <c r="AR111" s="106">
        <f t="shared" si="150"/>
        <v>0</v>
      </c>
      <c r="AS111" s="106">
        <f t="shared" si="151"/>
        <v>0</v>
      </c>
      <c r="AT111" s="106">
        <f t="shared" si="152"/>
        <v>0</v>
      </c>
      <c r="AU111" s="106">
        <f t="shared" si="153"/>
        <v>0</v>
      </c>
      <c r="AV111" s="106">
        <f t="shared" si="154"/>
        <v>0</v>
      </c>
      <c r="AW111" t="b">
        <f t="shared" si="155"/>
        <v>1</v>
      </c>
      <c r="AX111" t="b">
        <f t="shared" si="156"/>
        <v>1</v>
      </c>
    </row>
    <row r="112" spans="1:50" x14ac:dyDescent="0.25">
      <c r="A112" s="1">
        <v>110</v>
      </c>
      <c r="B112" s="10">
        <v>40846</v>
      </c>
      <c r="C112" s="5">
        <v>10</v>
      </c>
      <c r="D112" s="13">
        <v>5</v>
      </c>
      <c r="E112" s="57" t="str">
        <f t="shared" si="125"/>
        <v>OneTouch Delica Lancets (100 per box)  [usage = 60 lancets per month]</v>
      </c>
      <c r="F112" t="str">
        <f t="shared" si="126"/>
        <v>Medical Supplies</v>
      </c>
      <c r="G112" t="str">
        <f t="shared" si="127"/>
        <v>Plan Deductible Only</v>
      </c>
      <c r="H112" s="109">
        <f t="shared" si="128"/>
        <v>10.38</v>
      </c>
      <c r="I112" s="109">
        <f t="shared" si="129"/>
        <v>0</v>
      </c>
      <c r="J112" s="109">
        <f t="shared" si="130"/>
        <v>10.38</v>
      </c>
      <c r="K112" s="5" t="str">
        <f t="shared" si="131"/>
        <v>None</v>
      </c>
      <c r="L112">
        <f t="shared" si="132"/>
        <v>0</v>
      </c>
      <c r="M112" s="3">
        <f t="shared" si="133"/>
        <v>0</v>
      </c>
      <c r="N112" s="5" t="str">
        <f t="shared" si="134"/>
        <v>None</v>
      </c>
      <c r="O112">
        <f t="shared" si="135"/>
        <v>6</v>
      </c>
      <c r="P112" s="3">
        <f t="shared" si="136"/>
        <v>0</v>
      </c>
      <c r="Q112" s="8">
        <f t="shared" si="91"/>
        <v>0</v>
      </c>
      <c r="R112" s="16">
        <f t="shared" si="92"/>
        <v>0</v>
      </c>
      <c r="S112" s="8">
        <f t="shared" si="93"/>
        <v>0</v>
      </c>
      <c r="T112" s="8">
        <f t="shared" si="137"/>
        <v>10.38</v>
      </c>
      <c r="U112" s="5" t="b">
        <f t="shared" si="95"/>
        <v>1</v>
      </c>
      <c r="V112" s="8">
        <f t="shared" si="138"/>
        <v>0</v>
      </c>
      <c r="W112" s="8">
        <f t="shared" si="139"/>
        <v>0</v>
      </c>
      <c r="X112" s="5" t="b">
        <f t="shared" si="98"/>
        <v>0</v>
      </c>
      <c r="Y112" s="8">
        <f t="shared" si="140"/>
        <v>0</v>
      </c>
      <c r="Z112" s="8">
        <f t="shared" si="141"/>
        <v>0</v>
      </c>
      <c r="AA112" s="5" t="b">
        <f t="shared" si="101"/>
        <v>0</v>
      </c>
      <c r="AB112" s="8">
        <f t="shared" si="142"/>
        <v>0</v>
      </c>
      <c r="AC112" s="8">
        <f t="shared" si="143"/>
        <v>0</v>
      </c>
      <c r="AD112" s="5" t="b">
        <f t="shared" si="144"/>
        <v>0</v>
      </c>
      <c r="AE112" s="8">
        <f t="shared" si="145"/>
        <v>0</v>
      </c>
      <c r="AF112" s="8">
        <f t="shared" si="146"/>
        <v>0</v>
      </c>
      <c r="AG112" s="5" t="b">
        <f t="shared" si="107"/>
        <v>0</v>
      </c>
      <c r="AH112" s="8">
        <f t="shared" si="147"/>
        <v>0</v>
      </c>
      <c r="AI112" s="8">
        <f t="shared" si="148"/>
        <v>0</v>
      </c>
      <c r="AJ112" s="24">
        <f t="shared" si="149"/>
        <v>0</v>
      </c>
      <c r="AK112" s="8">
        <f t="shared" si="111"/>
        <v>10.38</v>
      </c>
      <c r="AL112" s="8">
        <f t="shared" si="112"/>
        <v>0</v>
      </c>
      <c r="AM112" s="183" t="b">
        <f t="shared" si="113"/>
        <v>1</v>
      </c>
      <c r="AN112" s="8">
        <f t="shared" si="114"/>
        <v>0</v>
      </c>
      <c r="AO112" s="54">
        <f t="shared" si="115"/>
        <v>3079.9999999999995</v>
      </c>
      <c r="AP112" s="8">
        <f t="shared" si="116"/>
        <v>0</v>
      </c>
      <c r="AQ112" s="8">
        <f t="shared" si="157"/>
        <v>10.38</v>
      </c>
      <c r="AR112" s="106">
        <f t="shared" si="150"/>
        <v>0</v>
      </c>
      <c r="AS112" s="106">
        <f t="shared" si="151"/>
        <v>0</v>
      </c>
      <c r="AT112" s="106">
        <f t="shared" si="152"/>
        <v>0</v>
      </c>
      <c r="AU112" s="106">
        <f t="shared" si="153"/>
        <v>0</v>
      </c>
      <c r="AV112" s="106">
        <f t="shared" si="154"/>
        <v>0</v>
      </c>
      <c r="AW112" t="b">
        <f t="shared" si="155"/>
        <v>1</v>
      </c>
      <c r="AX112" t="b">
        <f t="shared" si="156"/>
        <v>1</v>
      </c>
    </row>
    <row r="113" spans="1:50" x14ac:dyDescent="0.25">
      <c r="A113" s="1">
        <v>111</v>
      </c>
      <c r="B113" s="10">
        <v>40846</v>
      </c>
      <c r="C113" s="5">
        <v>10</v>
      </c>
      <c r="D113" s="13">
        <v>32</v>
      </c>
      <c r="E113" s="57" t="str">
        <f t="shared" si="125"/>
        <v>METFORMIN HCL 850 MG TABLET</v>
      </c>
      <c r="F113" t="str">
        <f t="shared" si="126"/>
        <v>Prescription Drugs: Generic</v>
      </c>
      <c r="G113" t="str">
        <f t="shared" si="127"/>
        <v>Rx Deductible+Co-pay</v>
      </c>
      <c r="H113" s="109">
        <f t="shared" si="128"/>
        <v>9.19</v>
      </c>
      <c r="I113" s="109">
        <f t="shared" si="129"/>
        <v>0</v>
      </c>
      <c r="J113" s="109">
        <f t="shared" si="130"/>
        <v>9.19</v>
      </c>
      <c r="K113" s="5" t="str">
        <f t="shared" si="131"/>
        <v>None</v>
      </c>
      <c r="L113">
        <f t="shared" si="132"/>
        <v>0</v>
      </c>
      <c r="M113" s="3">
        <f t="shared" si="133"/>
        <v>0</v>
      </c>
      <c r="N113" s="5" t="str">
        <f t="shared" si="134"/>
        <v>None</v>
      </c>
      <c r="O113">
        <f t="shared" si="135"/>
        <v>10</v>
      </c>
      <c r="P113" s="3">
        <f t="shared" si="136"/>
        <v>0</v>
      </c>
      <c r="Q113" s="8">
        <f t="shared" si="91"/>
        <v>10</v>
      </c>
      <c r="R113" s="16">
        <f t="shared" si="92"/>
        <v>0</v>
      </c>
      <c r="S113" s="8">
        <f t="shared" si="93"/>
        <v>0</v>
      </c>
      <c r="T113" s="8">
        <f t="shared" si="137"/>
        <v>0</v>
      </c>
      <c r="U113" s="5" t="b">
        <f t="shared" si="95"/>
        <v>0</v>
      </c>
      <c r="V113" s="8">
        <f t="shared" si="138"/>
        <v>0</v>
      </c>
      <c r="W113" s="8">
        <f t="shared" si="139"/>
        <v>0</v>
      </c>
      <c r="X113" s="5" t="b">
        <f t="shared" si="98"/>
        <v>1</v>
      </c>
      <c r="Y113" s="8">
        <f t="shared" si="140"/>
        <v>0</v>
      </c>
      <c r="Z113" s="8">
        <f t="shared" si="141"/>
        <v>0</v>
      </c>
      <c r="AA113" s="5" t="b">
        <f t="shared" si="101"/>
        <v>0</v>
      </c>
      <c r="AB113" s="8">
        <f t="shared" si="142"/>
        <v>0</v>
      </c>
      <c r="AC113" s="8">
        <f t="shared" si="143"/>
        <v>0</v>
      </c>
      <c r="AD113" s="5" t="b">
        <f t="shared" si="144"/>
        <v>0</v>
      </c>
      <c r="AE113" s="8">
        <f t="shared" si="145"/>
        <v>0</v>
      </c>
      <c r="AF113" s="8">
        <f t="shared" si="146"/>
        <v>0</v>
      </c>
      <c r="AG113" s="5" t="b">
        <f t="shared" si="107"/>
        <v>0</v>
      </c>
      <c r="AH113" s="8">
        <f t="shared" si="147"/>
        <v>0</v>
      </c>
      <c r="AI113" s="8">
        <f t="shared" si="148"/>
        <v>0</v>
      </c>
      <c r="AJ113" s="24">
        <f t="shared" si="149"/>
        <v>0</v>
      </c>
      <c r="AK113" s="8">
        <f t="shared" si="111"/>
        <v>9.19</v>
      </c>
      <c r="AL113" s="8">
        <f t="shared" si="112"/>
        <v>10</v>
      </c>
      <c r="AM113" s="183" t="b">
        <f t="shared" si="113"/>
        <v>1</v>
      </c>
      <c r="AN113" s="8">
        <f t="shared" si="114"/>
        <v>10</v>
      </c>
      <c r="AO113" s="54">
        <f t="shared" si="115"/>
        <v>3079.9999999999995</v>
      </c>
      <c r="AP113" s="8">
        <f t="shared" si="116"/>
        <v>10</v>
      </c>
      <c r="AQ113" s="8">
        <f t="shared" si="157"/>
        <v>0</v>
      </c>
      <c r="AR113" s="106">
        <f t="shared" si="150"/>
        <v>0</v>
      </c>
      <c r="AS113" s="106">
        <f t="shared" si="151"/>
        <v>0</v>
      </c>
      <c r="AT113" s="106">
        <f t="shared" si="152"/>
        <v>10</v>
      </c>
      <c r="AU113" s="106">
        <f t="shared" si="153"/>
        <v>0</v>
      </c>
      <c r="AV113" s="106">
        <f t="shared" si="154"/>
        <v>0</v>
      </c>
      <c r="AW113" t="b">
        <f t="shared" si="155"/>
        <v>1</v>
      </c>
      <c r="AX113" t="b">
        <f t="shared" si="156"/>
        <v>0</v>
      </c>
    </row>
    <row r="114" spans="1:50" x14ac:dyDescent="0.25">
      <c r="A114" s="1">
        <v>112</v>
      </c>
      <c r="B114" s="10">
        <v>40846</v>
      </c>
      <c r="C114" s="5">
        <v>10</v>
      </c>
      <c r="D114" s="13">
        <v>19</v>
      </c>
      <c r="E114" s="57" t="str">
        <f t="shared" si="125"/>
        <v>Ramipril 10mg (Rx) [1 QD; #30 pills/month]</v>
      </c>
      <c r="F114" t="str">
        <f t="shared" si="126"/>
        <v>Prescription Drugs: Generic</v>
      </c>
      <c r="G114" t="str">
        <f t="shared" si="127"/>
        <v>Rx Deductible+Co-pay</v>
      </c>
      <c r="H114" s="109">
        <f t="shared" si="128"/>
        <v>15.92</v>
      </c>
      <c r="I114" s="109">
        <f t="shared" si="129"/>
        <v>0</v>
      </c>
      <c r="J114" s="109">
        <f t="shared" si="130"/>
        <v>15.92</v>
      </c>
      <c r="K114" s="5" t="str">
        <f t="shared" si="131"/>
        <v>None</v>
      </c>
      <c r="L114">
        <f t="shared" si="132"/>
        <v>0</v>
      </c>
      <c r="M114" s="3">
        <f t="shared" si="133"/>
        <v>0</v>
      </c>
      <c r="N114" s="5" t="str">
        <f t="shared" si="134"/>
        <v>None</v>
      </c>
      <c r="O114">
        <f t="shared" si="135"/>
        <v>10</v>
      </c>
      <c r="P114" s="3">
        <f t="shared" si="136"/>
        <v>0</v>
      </c>
      <c r="Q114" s="8">
        <f t="shared" si="91"/>
        <v>10</v>
      </c>
      <c r="R114" s="16">
        <f t="shared" si="92"/>
        <v>0</v>
      </c>
      <c r="S114" s="8">
        <f t="shared" si="93"/>
        <v>0</v>
      </c>
      <c r="T114" s="8">
        <f t="shared" si="137"/>
        <v>5.92</v>
      </c>
      <c r="U114" s="5" t="b">
        <f t="shared" si="95"/>
        <v>0</v>
      </c>
      <c r="V114" s="8">
        <f t="shared" si="138"/>
        <v>0</v>
      </c>
      <c r="W114" s="8">
        <f t="shared" si="139"/>
        <v>0</v>
      </c>
      <c r="X114" s="5" t="b">
        <f t="shared" si="98"/>
        <v>1</v>
      </c>
      <c r="Y114" s="8">
        <f t="shared" si="140"/>
        <v>0</v>
      </c>
      <c r="Z114" s="8">
        <f t="shared" si="141"/>
        <v>0</v>
      </c>
      <c r="AA114" s="5" t="b">
        <f t="shared" si="101"/>
        <v>0</v>
      </c>
      <c r="AB114" s="8">
        <f t="shared" si="142"/>
        <v>0</v>
      </c>
      <c r="AC114" s="8">
        <f t="shared" si="143"/>
        <v>0</v>
      </c>
      <c r="AD114" s="5" t="b">
        <f t="shared" si="144"/>
        <v>0</v>
      </c>
      <c r="AE114" s="8">
        <f t="shared" si="145"/>
        <v>0</v>
      </c>
      <c r="AF114" s="8">
        <f t="shared" si="146"/>
        <v>0</v>
      </c>
      <c r="AG114" s="5" t="b">
        <f t="shared" si="107"/>
        <v>0</v>
      </c>
      <c r="AH114" s="8">
        <f t="shared" si="147"/>
        <v>0</v>
      </c>
      <c r="AI114" s="8">
        <f t="shared" si="148"/>
        <v>0</v>
      </c>
      <c r="AJ114" s="24">
        <f t="shared" si="149"/>
        <v>0</v>
      </c>
      <c r="AK114" s="8">
        <f t="shared" si="111"/>
        <v>15.92</v>
      </c>
      <c r="AL114" s="8">
        <f t="shared" si="112"/>
        <v>10</v>
      </c>
      <c r="AM114" s="183" t="b">
        <f t="shared" si="113"/>
        <v>1</v>
      </c>
      <c r="AN114" s="8">
        <f t="shared" si="114"/>
        <v>10</v>
      </c>
      <c r="AO114" s="54">
        <f t="shared" si="115"/>
        <v>3069.9999999999995</v>
      </c>
      <c r="AP114" s="8">
        <f t="shared" si="116"/>
        <v>10</v>
      </c>
      <c r="AQ114" s="8">
        <f t="shared" si="157"/>
        <v>5.92</v>
      </c>
      <c r="AR114" s="106">
        <f t="shared" si="150"/>
        <v>0</v>
      </c>
      <c r="AS114" s="106">
        <f t="shared" si="151"/>
        <v>0</v>
      </c>
      <c r="AT114" s="106">
        <f t="shared" si="152"/>
        <v>10</v>
      </c>
      <c r="AU114" s="106">
        <f t="shared" si="153"/>
        <v>0</v>
      </c>
      <c r="AV114" s="106">
        <f t="shared" si="154"/>
        <v>0</v>
      </c>
      <c r="AW114" t="b">
        <f t="shared" si="155"/>
        <v>1</v>
      </c>
      <c r="AX114" t="b">
        <f t="shared" si="156"/>
        <v>1</v>
      </c>
    </row>
    <row r="115" spans="1:50" x14ac:dyDescent="0.25">
      <c r="A115" s="1">
        <v>113</v>
      </c>
      <c r="B115" s="10">
        <v>40854</v>
      </c>
      <c r="C115" s="5">
        <v>11</v>
      </c>
      <c r="D115" s="13">
        <v>17</v>
      </c>
      <c r="E115" s="57" t="str">
        <f t="shared" si="125"/>
        <v>Insulin glargine 100 unit/ml injectable solution (Rx - 10ml vial)  [20 units QD; expires 28 days after first use]</v>
      </c>
      <c r="F115" t="str">
        <f t="shared" si="126"/>
        <v>Prescription Drugs: Branded</v>
      </c>
      <c r="G115" t="str">
        <f t="shared" si="127"/>
        <v>Rx Deductible+Co-pay</v>
      </c>
      <c r="H115" s="109">
        <f t="shared" si="128"/>
        <v>275.51</v>
      </c>
      <c r="I115" s="109">
        <f t="shared" si="129"/>
        <v>0</v>
      </c>
      <c r="J115" s="109">
        <f t="shared" si="130"/>
        <v>275.51</v>
      </c>
      <c r="K115" s="5" t="str">
        <f t="shared" si="131"/>
        <v>None</v>
      </c>
      <c r="L115">
        <f t="shared" si="132"/>
        <v>0</v>
      </c>
      <c r="M115" s="3">
        <f t="shared" si="133"/>
        <v>0</v>
      </c>
      <c r="N115" s="5" t="str">
        <f t="shared" si="134"/>
        <v>None</v>
      </c>
      <c r="O115">
        <f t="shared" si="135"/>
        <v>11</v>
      </c>
      <c r="P115" s="3">
        <f t="shared" si="136"/>
        <v>0</v>
      </c>
      <c r="Q115" s="8">
        <f t="shared" si="91"/>
        <v>30</v>
      </c>
      <c r="R115" s="16">
        <f t="shared" si="92"/>
        <v>0</v>
      </c>
      <c r="S115" s="8">
        <f t="shared" si="93"/>
        <v>0</v>
      </c>
      <c r="T115" s="8">
        <f t="shared" si="137"/>
        <v>245.51</v>
      </c>
      <c r="U115" s="5" t="b">
        <f t="shared" si="95"/>
        <v>0</v>
      </c>
      <c r="V115" s="8">
        <f t="shared" si="138"/>
        <v>0</v>
      </c>
      <c r="W115" s="8">
        <f t="shared" si="139"/>
        <v>0</v>
      </c>
      <c r="X115" s="5" t="b">
        <f t="shared" si="98"/>
        <v>1</v>
      </c>
      <c r="Y115" s="8">
        <f t="shared" si="140"/>
        <v>0</v>
      </c>
      <c r="Z115" s="8">
        <f t="shared" si="141"/>
        <v>0</v>
      </c>
      <c r="AA115" s="5" t="b">
        <f t="shared" si="101"/>
        <v>0</v>
      </c>
      <c r="AB115" s="8">
        <f t="shared" si="142"/>
        <v>0</v>
      </c>
      <c r="AC115" s="8">
        <f t="shared" si="143"/>
        <v>0</v>
      </c>
      <c r="AD115" s="5" t="b">
        <f t="shared" si="144"/>
        <v>0</v>
      </c>
      <c r="AE115" s="8">
        <f t="shared" si="145"/>
        <v>0</v>
      </c>
      <c r="AF115" s="8">
        <f t="shared" si="146"/>
        <v>0</v>
      </c>
      <c r="AG115" s="5" t="b">
        <f t="shared" si="107"/>
        <v>0</v>
      </c>
      <c r="AH115" s="8">
        <f t="shared" si="147"/>
        <v>0</v>
      </c>
      <c r="AI115" s="8">
        <f t="shared" si="148"/>
        <v>0</v>
      </c>
      <c r="AJ115" s="24">
        <f t="shared" si="149"/>
        <v>0</v>
      </c>
      <c r="AK115" s="8">
        <f t="shared" si="111"/>
        <v>275.51</v>
      </c>
      <c r="AL115" s="8">
        <f t="shared" si="112"/>
        <v>30</v>
      </c>
      <c r="AM115" s="183" t="b">
        <f t="shared" si="113"/>
        <v>1</v>
      </c>
      <c r="AN115" s="8">
        <f t="shared" si="114"/>
        <v>30</v>
      </c>
      <c r="AO115" s="54">
        <f t="shared" si="115"/>
        <v>3059.9999999999995</v>
      </c>
      <c r="AP115" s="8">
        <f t="shared" si="116"/>
        <v>30</v>
      </c>
      <c r="AQ115" s="8">
        <f t="shared" si="157"/>
        <v>245.51</v>
      </c>
      <c r="AR115" s="106">
        <f t="shared" si="150"/>
        <v>0</v>
      </c>
      <c r="AS115" s="106">
        <f t="shared" si="151"/>
        <v>0</v>
      </c>
      <c r="AT115" s="106">
        <f t="shared" si="152"/>
        <v>30</v>
      </c>
      <c r="AU115" s="106">
        <f t="shared" si="153"/>
        <v>0</v>
      </c>
      <c r="AV115" s="106">
        <f t="shared" si="154"/>
        <v>0</v>
      </c>
      <c r="AW115" t="b">
        <f t="shared" si="155"/>
        <v>1</v>
      </c>
      <c r="AX115" t="b">
        <f t="shared" si="156"/>
        <v>1</v>
      </c>
    </row>
    <row r="116" spans="1:50" x14ac:dyDescent="0.25">
      <c r="A116" s="1">
        <v>114</v>
      </c>
      <c r="B116" s="10">
        <v>40876</v>
      </c>
      <c r="C116" s="5">
        <v>11</v>
      </c>
      <c r="D116" s="13">
        <v>25</v>
      </c>
      <c r="E116" s="57" t="str">
        <f t="shared" si="125"/>
        <v>Alcohol swabs (OTC - box of 100)  [usage = 3 wipes/day; 90 wipes/month]</v>
      </c>
      <c r="F116" t="str">
        <f t="shared" si="126"/>
        <v>Over-the-counter Drugs</v>
      </c>
      <c r="G116" t="str">
        <f t="shared" si="127"/>
        <v>Not Covered</v>
      </c>
      <c r="H116" s="109">
        <f t="shared" si="128"/>
        <v>2.6074999999999999</v>
      </c>
      <c r="I116" s="109">
        <f t="shared" si="129"/>
        <v>2.6074999999999999</v>
      </c>
      <c r="J116" s="109">
        <f t="shared" si="130"/>
        <v>0</v>
      </c>
      <c r="K116" s="5" t="str">
        <f t="shared" si="131"/>
        <v>None</v>
      </c>
      <c r="L116">
        <f t="shared" si="132"/>
        <v>0</v>
      </c>
      <c r="M116" s="3">
        <f t="shared" si="133"/>
        <v>0</v>
      </c>
      <c r="N116" s="5" t="str">
        <f t="shared" si="134"/>
        <v>None</v>
      </c>
      <c r="O116">
        <f t="shared" si="135"/>
        <v>11</v>
      </c>
      <c r="P116" s="3">
        <f t="shared" si="136"/>
        <v>0</v>
      </c>
      <c r="Q116" s="8">
        <f t="shared" si="91"/>
        <v>0</v>
      </c>
      <c r="R116" s="16">
        <f t="shared" si="92"/>
        <v>0</v>
      </c>
      <c r="S116" s="8">
        <f t="shared" si="93"/>
        <v>0</v>
      </c>
      <c r="T116" s="8">
        <f t="shared" si="137"/>
        <v>0</v>
      </c>
      <c r="U116" s="5" t="b">
        <f t="shared" si="95"/>
        <v>0</v>
      </c>
      <c r="V116" s="8">
        <f t="shared" si="138"/>
        <v>0</v>
      </c>
      <c r="W116" s="8">
        <f t="shared" si="139"/>
        <v>0</v>
      </c>
      <c r="X116" s="5" t="b">
        <f t="shared" si="98"/>
        <v>0</v>
      </c>
      <c r="Y116" s="8">
        <f t="shared" si="140"/>
        <v>0</v>
      </c>
      <c r="Z116" s="8">
        <f t="shared" si="141"/>
        <v>0</v>
      </c>
      <c r="AA116" s="5" t="b">
        <f t="shared" si="101"/>
        <v>0</v>
      </c>
      <c r="AB116" s="8">
        <f t="shared" si="142"/>
        <v>0</v>
      </c>
      <c r="AC116" s="8">
        <f t="shared" si="143"/>
        <v>0</v>
      </c>
      <c r="AD116" s="5" t="b">
        <f t="shared" si="144"/>
        <v>0</v>
      </c>
      <c r="AE116" s="8">
        <f t="shared" si="145"/>
        <v>0</v>
      </c>
      <c r="AF116" s="8">
        <f t="shared" si="146"/>
        <v>0</v>
      </c>
      <c r="AG116" s="5" t="b">
        <f t="shared" si="107"/>
        <v>0</v>
      </c>
      <c r="AH116" s="8">
        <f t="shared" si="147"/>
        <v>0</v>
      </c>
      <c r="AI116" s="8">
        <f t="shared" si="148"/>
        <v>0</v>
      </c>
      <c r="AJ116" s="24">
        <f t="shared" si="149"/>
        <v>0</v>
      </c>
      <c r="AK116" s="8">
        <f t="shared" si="111"/>
        <v>0</v>
      </c>
      <c r="AL116" s="8">
        <f t="shared" si="112"/>
        <v>0</v>
      </c>
      <c r="AM116" s="183" t="b">
        <f t="shared" si="113"/>
        <v>0</v>
      </c>
      <c r="AN116" s="8">
        <f t="shared" si="114"/>
        <v>0</v>
      </c>
      <c r="AO116" s="54">
        <f t="shared" si="115"/>
        <v>0</v>
      </c>
      <c r="AP116" s="8">
        <f t="shared" si="116"/>
        <v>0</v>
      </c>
      <c r="AQ116" s="8">
        <f t="shared" si="157"/>
        <v>0</v>
      </c>
      <c r="AR116" s="106">
        <f t="shared" si="150"/>
        <v>2.6074999999999999</v>
      </c>
      <c r="AS116" s="106">
        <f t="shared" si="151"/>
        <v>0</v>
      </c>
      <c r="AT116" s="106">
        <f t="shared" si="152"/>
        <v>0</v>
      </c>
      <c r="AU116" s="106">
        <f t="shared" si="153"/>
        <v>0</v>
      </c>
      <c r="AV116" s="106">
        <f t="shared" si="154"/>
        <v>0</v>
      </c>
      <c r="AW116" t="b">
        <f t="shared" si="155"/>
        <v>1</v>
      </c>
      <c r="AX116" t="b">
        <f t="shared" si="156"/>
        <v>1</v>
      </c>
    </row>
    <row r="117" spans="1:50" x14ac:dyDescent="0.25">
      <c r="A117" s="1">
        <v>115</v>
      </c>
      <c r="B117" s="10">
        <v>40876</v>
      </c>
      <c r="C117" s="5">
        <v>11</v>
      </c>
      <c r="D117" s="13">
        <v>14</v>
      </c>
      <c r="E117" s="57" t="str">
        <f t="shared" si="125"/>
        <v>BD Ultrafine Insulin Syringes / 30G/ 0.5cc  [usage = 30 syringes per month]</v>
      </c>
      <c r="F117" t="str">
        <f t="shared" si="126"/>
        <v>Medical Supplies</v>
      </c>
      <c r="G117" t="str">
        <f t="shared" si="127"/>
        <v>Plan Deductible Only</v>
      </c>
      <c r="H117" s="109">
        <f t="shared" si="128"/>
        <v>42.66</v>
      </c>
      <c r="I117" s="109">
        <f t="shared" si="129"/>
        <v>0</v>
      </c>
      <c r="J117" s="109">
        <f t="shared" si="130"/>
        <v>42.66</v>
      </c>
      <c r="K117" s="5" t="str">
        <f t="shared" si="131"/>
        <v>None</v>
      </c>
      <c r="L117">
        <f t="shared" si="132"/>
        <v>0</v>
      </c>
      <c r="M117" s="3">
        <f t="shared" si="133"/>
        <v>0</v>
      </c>
      <c r="N117" s="5" t="str">
        <f t="shared" si="134"/>
        <v>None</v>
      </c>
      <c r="O117">
        <f t="shared" si="135"/>
        <v>11</v>
      </c>
      <c r="P117" s="3">
        <f t="shared" si="136"/>
        <v>0</v>
      </c>
      <c r="Q117" s="8">
        <f t="shared" si="91"/>
        <v>0</v>
      </c>
      <c r="R117" s="16">
        <f t="shared" si="92"/>
        <v>0</v>
      </c>
      <c r="S117" s="8">
        <f t="shared" si="93"/>
        <v>0</v>
      </c>
      <c r="T117" s="8">
        <f t="shared" si="137"/>
        <v>42.66</v>
      </c>
      <c r="U117" s="5" t="b">
        <f t="shared" si="95"/>
        <v>1</v>
      </c>
      <c r="V117" s="8">
        <f t="shared" si="138"/>
        <v>0</v>
      </c>
      <c r="W117" s="8">
        <f t="shared" si="139"/>
        <v>0</v>
      </c>
      <c r="X117" s="5" t="b">
        <f t="shared" si="98"/>
        <v>0</v>
      </c>
      <c r="Y117" s="8">
        <f t="shared" si="140"/>
        <v>0</v>
      </c>
      <c r="Z117" s="8">
        <f t="shared" si="141"/>
        <v>0</v>
      </c>
      <c r="AA117" s="5" t="b">
        <f t="shared" si="101"/>
        <v>0</v>
      </c>
      <c r="AB117" s="8">
        <f t="shared" si="142"/>
        <v>0</v>
      </c>
      <c r="AC117" s="8">
        <f t="shared" si="143"/>
        <v>0</v>
      </c>
      <c r="AD117" s="5" t="b">
        <f t="shared" si="144"/>
        <v>0</v>
      </c>
      <c r="AE117" s="8">
        <f t="shared" si="145"/>
        <v>0</v>
      </c>
      <c r="AF117" s="8">
        <f t="shared" si="146"/>
        <v>0</v>
      </c>
      <c r="AG117" s="5" t="b">
        <f t="shared" si="107"/>
        <v>0</v>
      </c>
      <c r="AH117" s="8">
        <f t="shared" si="147"/>
        <v>0</v>
      </c>
      <c r="AI117" s="8">
        <f t="shared" si="148"/>
        <v>0</v>
      </c>
      <c r="AJ117" s="24">
        <f t="shared" si="149"/>
        <v>0</v>
      </c>
      <c r="AK117" s="8">
        <f t="shared" si="111"/>
        <v>42.66</v>
      </c>
      <c r="AL117" s="8">
        <f t="shared" si="112"/>
        <v>0</v>
      </c>
      <c r="AM117" s="183" t="b">
        <f t="shared" si="113"/>
        <v>1</v>
      </c>
      <c r="AN117" s="8">
        <f t="shared" si="114"/>
        <v>0</v>
      </c>
      <c r="AO117" s="54">
        <f t="shared" si="115"/>
        <v>3029.9999999999995</v>
      </c>
      <c r="AP117" s="8">
        <f t="shared" si="116"/>
        <v>0</v>
      </c>
      <c r="AQ117" s="8">
        <f t="shared" si="157"/>
        <v>42.66</v>
      </c>
      <c r="AR117" s="106">
        <f t="shared" si="150"/>
        <v>0</v>
      </c>
      <c r="AS117" s="106">
        <f t="shared" si="151"/>
        <v>0</v>
      </c>
      <c r="AT117" s="106">
        <f t="shared" si="152"/>
        <v>0</v>
      </c>
      <c r="AU117" s="106">
        <f t="shared" si="153"/>
        <v>0</v>
      </c>
      <c r="AV117" s="106">
        <f t="shared" si="154"/>
        <v>0</v>
      </c>
      <c r="AW117" t="b">
        <f t="shared" si="155"/>
        <v>1</v>
      </c>
      <c r="AX117" t="b">
        <f t="shared" si="156"/>
        <v>1</v>
      </c>
    </row>
    <row r="118" spans="1:50" x14ac:dyDescent="0.25">
      <c r="A118" s="1">
        <v>116</v>
      </c>
      <c r="B118" s="10">
        <v>40876</v>
      </c>
      <c r="C118" s="5">
        <v>11</v>
      </c>
      <c r="D118" s="13">
        <v>32</v>
      </c>
      <c r="E118" s="57" t="str">
        <f t="shared" si="125"/>
        <v>METFORMIN HCL 850 MG TABLET</v>
      </c>
      <c r="F118" t="str">
        <f t="shared" si="126"/>
        <v>Prescription Drugs: Generic</v>
      </c>
      <c r="G118" t="str">
        <f t="shared" si="127"/>
        <v>Rx Deductible+Co-pay</v>
      </c>
      <c r="H118" s="109">
        <f t="shared" si="128"/>
        <v>9.19</v>
      </c>
      <c r="I118" s="109">
        <f t="shared" si="129"/>
        <v>0</v>
      </c>
      <c r="J118" s="109">
        <f t="shared" si="130"/>
        <v>9.19</v>
      </c>
      <c r="K118" s="5" t="str">
        <f t="shared" si="131"/>
        <v>None</v>
      </c>
      <c r="L118">
        <f t="shared" si="132"/>
        <v>0</v>
      </c>
      <c r="M118" s="3">
        <f t="shared" si="133"/>
        <v>0</v>
      </c>
      <c r="N118" s="5" t="str">
        <f t="shared" si="134"/>
        <v>None</v>
      </c>
      <c r="O118">
        <f t="shared" si="135"/>
        <v>11</v>
      </c>
      <c r="P118" s="3">
        <f t="shared" si="136"/>
        <v>0</v>
      </c>
      <c r="Q118" s="8">
        <f t="shared" si="91"/>
        <v>10</v>
      </c>
      <c r="R118" s="16">
        <f t="shared" si="92"/>
        <v>0</v>
      </c>
      <c r="S118" s="8">
        <f t="shared" si="93"/>
        <v>0</v>
      </c>
      <c r="T118" s="8">
        <f t="shared" si="137"/>
        <v>0</v>
      </c>
      <c r="U118" s="5" t="b">
        <f t="shared" si="95"/>
        <v>0</v>
      </c>
      <c r="V118" s="8">
        <f t="shared" si="138"/>
        <v>0</v>
      </c>
      <c r="W118" s="8">
        <f t="shared" si="139"/>
        <v>0</v>
      </c>
      <c r="X118" s="5" t="b">
        <f t="shared" si="98"/>
        <v>1</v>
      </c>
      <c r="Y118" s="8">
        <f t="shared" si="140"/>
        <v>0</v>
      </c>
      <c r="Z118" s="8">
        <f t="shared" si="141"/>
        <v>0</v>
      </c>
      <c r="AA118" s="5" t="b">
        <f t="shared" si="101"/>
        <v>0</v>
      </c>
      <c r="AB118" s="8">
        <f t="shared" si="142"/>
        <v>0</v>
      </c>
      <c r="AC118" s="8">
        <f t="shared" si="143"/>
        <v>0</v>
      </c>
      <c r="AD118" s="5" t="b">
        <f t="shared" si="144"/>
        <v>0</v>
      </c>
      <c r="AE118" s="8">
        <f t="shared" si="145"/>
        <v>0</v>
      </c>
      <c r="AF118" s="8">
        <f t="shared" si="146"/>
        <v>0</v>
      </c>
      <c r="AG118" s="5" t="b">
        <f t="shared" si="107"/>
        <v>0</v>
      </c>
      <c r="AH118" s="8">
        <f t="shared" si="147"/>
        <v>0</v>
      </c>
      <c r="AI118" s="8">
        <f t="shared" si="148"/>
        <v>0</v>
      </c>
      <c r="AJ118" s="24">
        <f t="shared" si="149"/>
        <v>0</v>
      </c>
      <c r="AK118" s="8">
        <f t="shared" si="111"/>
        <v>9.19</v>
      </c>
      <c r="AL118" s="8">
        <f t="shared" si="112"/>
        <v>10</v>
      </c>
      <c r="AM118" s="183" t="b">
        <f t="shared" si="113"/>
        <v>1</v>
      </c>
      <c r="AN118" s="8">
        <f t="shared" si="114"/>
        <v>10</v>
      </c>
      <c r="AO118" s="54">
        <f t="shared" si="115"/>
        <v>3029.9999999999995</v>
      </c>
      <c r="AP118" s="8">
        <f t="shared" si="116"/>
        <v>10</v>
      </c>
      <c r="AQ118" s="8">
        <f t="shared" si="157"/>
        <v>0</v>
      </c>
      <c r="AR118" s="106">
        <f t="shared" si="150"/>
        <v>0</v>
      </c>
      <c r="AS118" s="106">
        <f t="shared" si="151"/>
        <v>0</v>
      </c>
      <c r="AT118" s="106">
        <f t="shared" si="152"/>
        <v>10</v>
      </c>
      <c r="AU118" s="106">
        <f t="shared" si="153"/>
        <v>0</v>
      </c>
      <c r="AV118" s="106">
        <f t="shared" si="154"/>
        <v>0</v>
      </c>
      <c r="AW118" t="b">
        <f t="shared" si="155"/>
        <v>1</v>
      </c>
      <c r="AX118" t="b">
        <f t="shared" si="156"/>
        <v>0</v>
      </c>
    </row>
    <row r="119" spans="1:50" x14ac:dyDescent="0.25">
      <c r="A119" s="1">
        <v>117</v>
      </c>
      <c r="B119" s="10">
        <v>40876</v>
      </c>
      <c r="C119" s="5">
        <v>11</v>
      </c>
      <c r="D119" s="13">
        <v>19</v>
      </c>
      <c r="E119" s="57" t="str">
        <f t="shared" si="125"/>
        <v>Ramipril 10mg (Rx) [1 QD; #30 pills/month]</v>
      </c>
      <c r="F119" t="str">
        <f t="shared" si="126"/>
        <v>Prescription Drugs: Generic</v>
      </c>
      <c r="G119" t="str">
        <f t="shared" si="127"/>
        <v>Rx Deductible+Co-pay</v>
      </c>
      <c r="H119" s="109">
        <f t="shared" si="128"/>
        <v>15.92</v>
      </c>
      <c r="I119" s="109">
        <f t="shared" si="129"/>
        <v>0</v>
      </c>
      <c r="J119" s="109">
        <f t="shared" si="130"/>
        <v>15.92</v>
      </c>
      <c r="K119" s="5" t="str">
        <f t="shared" si="131"/>
        <v>None</v>
      </c>
      <c r="L119">
        <f t="shared" si="132"/>
        <v>0</v>
      </c>
      <c r="M119" s="3">
        <f t="shared" si="133"/>
        <v>0</v>
      </c>
      <c r="N119" s="5" t="str">
        <f t="shared" si="134"/>
        <v>None</v>
      </c>
      <c r="O119">
        <f t="shared" si="135"/>
        <v>11</v>
      </c>
      <c r="P119" s="3">
        <f t="shared" si="136"/>
        <v>0</v>
      </c>
      <c r="Q119" s="8">
        <f t="shared" si="91"/>
        <v>10</v>
      </c>
      <c r="R119" s="16">
        <f t="shared" si="92"/>
        <v>0</v>
      </c>
      <c r="S119" s="8">
        <f t="shared" si="93"/>
        <v>0</v>
      </c>
      <c r="T119" s="8">
        <f t="shared" si="137"/>
        <v>5.92</v>
      </c>
      <c r="U119" s="5" t="b">
        <f t="shared" si="95"/>
        <v>0</v>
      </c>
      <c r="V119" s="8">
        <f t="shared" si="138"/>
        <v>0</v>
      </c>
      <c r="W119" s="8">
        <f t="shared" si="139"/>
        <v>0</v>
      </c>
      <c r="X119" s="5" t="b">
        <f t="shared" si="98"/>
        <v>1</v>
      </c>
      <c r="Y119" s="8">
        <f t="shared" si="140"/>
        <v>0</v>
      </c>
      <c r="Z119" s="8">
        <f t="shared" si="141"/>
        <v>0</v>
      </c>
      <c r="AA119" s="5" t="b">
        <f t="shared" si="101"/>
        <v>0</v>
      </c>
      <c r="AB119" s="8">
        <f t="shared" si="142"/>
        <v>0</v>
      </c>
      <c r="AC119" s="8">
        <f t="shared" si="143"/>
        <v>0</v>
      </c>
      <c r="AD119" s="5" t="b">
        <f t="shared" si="144"/>
        <v>0</v>
      </c>
      <c r="AE119" s="8">
        <f t="shared" si="145"/>
        <v>0</v>
      </c>
      <c r="AF119" s="8">
        <f t="shared" si="146"/>
        <v>0</v>
      </c>
      <c r="AG119" s="5" t="b">
        <f t="shared" si="107"/>
        <v>0</v>
      </c>
      <c r="AH119" s="8">
        <f t="shared" si="147"/>
        <v>0</v>
      </c>
      <c r="AI119" s="8">
        <f t="shared" si="148"/>
        <v>0</v>
      </c>
      <c r="AJ119" s="24">
        <f t="shared" si="149"/>
        <v>0</v>
      </c>
      <c r="AK119" s="8">
        <f t="shared" si="111"/>
        <v>15.92</v>
      </c>
      <c r="AL119" s="8">
        <f t="shared" si="112"/>
        <v>10</v>
      </c>
      <c r="AM119" s="183" t="b">
        <f t="shared" si="113"/>
        <v>1</v>
      </c>
      <c r="AN119" s="8">
        <f t="shared" si="114"/>
        <v>10</v>
      </c>
      <c r="AO119" s="54">
        <f t="shared" si="115"/>
        <v>3019.9999999999995</v>
      </c>
      <c r="AP119" s="8">
        <f t="shared" si="116"/>
        <v>10</v>
      </c>
      <c r="AQ119" s="8">
        <f t="shared" si="157"/>
        <v>5.92</v>
      </c>
      <c r="AR119" s="106">
        <f t="shared" si="150"/>
        <v>0</v>
      </c>
      <c r="AS119" s="106">
        <f t="shared" si="151"/>
        <v>0</v>
      </c>
      <c r="AT119" s="106">
        <f t="shared" si="152"/>
        <v>10</v>
      </c>
      <c r="AU119" s="106">
        <f t="shared" si="153"/>
        <v>0</v>
      </c>
      <c r="AV119" s="106">
        <f t="shared" si="154"/>
        <v>0</v>
      </c>
      <c r="AW119" t="b">
        <f t="shared" si="155"/>
        <v>1</v>
      </c>
      <c r="AX119" t="b">
        <f t="shared" si="156"/>
        <v>1</v>
      </c>
    </row>
    <row r="120" spans="1:50" x14ac:dyDescent="0.25">
      <c r="A120" s="1">
        <v>118</v>
      </c>
      <c r="B120" s="10">
        <v>40882</v>
      </c>
      <c r="C120" s="5">
        <v>12</v>
      </c>
      <c r="D120" s="13">
        <v>26</v>
      </c>
      <c r="E120" s="57" t="str">
        <f t="shared" si="125"/>
        <v>Aspirin 81mg (OTC - bottle 100) [usage = 1 QD; #30 pills per month]</v>
      </c>
      <c r="F120" t="str">
        <f t="shared" si="126"/>
        <v>Over-the-counter Drugs</v>
      </c>
      <c r="G120" t="str">
        <f t="shared" si="127"/>
        <v>Not Covered</v>
      </c>
      <c r="H120" s="109">
        <f t="shared" si="128"/>
        <v>4.2725</v>
      </c>
      <c r="I120" s="109">
        <f t="shared" si="129"/>
        <v>4.2725</v>
      </c>
      <c r="J120" s="109">
        <f t="shared" si="130"/>
        <v>0</v>
      </c>
      <c r="K120" s="5" t="str">
        <f t="shared" si="131"/>
        <v>None</v>
      </c>
      <c r="L120">
        <f t="shared" si="132"/>
        <v>0</v>
      </c>
      <c r="M120" s="3">
        <f t="shared" si="133"/>
        <v>0</v>
      </c>
      <c r="N120" s="5" t="str">
        <f t="shared" si="134"/>
        <v>None</v>
      </c>
      <c r="O120">
        <f t="shared" si="135"/>
        <v>4</v>
      </c>
      <c r="P120" s="3">
        <f t="shared" si="136"/>
        <v>0</v>
      </c>
      <c r="Q120" s="8">
        <f t="shared" si="91"/>
        <v>0</v>
      </c>
      <c r="R120" s="16">
        <f t="shared" si="92"/>
        <v>0</v>
      </c>
      <c r="S120" s="8">
        <f t="shared" si="93"/>
        <v>0</v>
      </c>
      <c r="T120" s="8">
        <f t="shared" si="137"/>
        <v>0</v>
      </c>
      <c r="U120" s="5" t="b">
        <f t="shared" si="95"/>
        <v>0</v>
      </c>
      <c r="V120" s="8">
        <f t="shared" si="138"/>
        <v>0</v>
      </c>
      <c r="W120" s="8">
        <f t="shared" si="139"/>
        <v>0</v>
      </c>
      <c r="X120" s="5" t="b">
        <f t="shared" si="98"/>
        <v>0</v>
      </c>
      <c r="Y120" s="8">
        <f t="shared" si="140"/>
        <v>0</v>
      </c>
      <c r="Z120" s="8">
        <f t="shared" si="141"/>
        <v>0</v>
      </c>
      <c r="AA120" s="5" t="b">
        <f t="shared" si="101"/>
        <v>0</v>
      </c>
      <c r="AB120" s="8">
        <f t="shared" si="142"/>
        <v>0</v>
      </c>
      <c r="AC120" s="8">
        <f t="shared" si="143"/>
        <v>0</v>
      </c>
      <c r="AD120" s="5" t="b">
        <f t="shared" si="144"/>
        <v>0</v>
      </c>
      <c r="AE120" s="8">
        <f t="shared" si="145"/>
        <v>0</v>
      </c>
      <c r="AF120" s="8">
        <f t="shared" si="146"/>
        <v>0</v>
      </c>
      <c r="AG120" s="5" t="b">
        <f t="shared" si="107"/>
        <v>0</v>
      </c>
      <c r="AH120" s="8">
        <f t="shared" si="147"/>
        <v>0</v>
      </c>
      <c r="AI120" s="8">
        <f t="shared" si="148"/>
        <v>0</v>
      </c>
      <c r="AJ120" s="24">
        <f t="shared" si="149"/>
        <v>0</v>
      </c>
      <c r="AK120" s="8">
        <f t="shared" si="111"/>
        <v>0</v>
      </c>
      <c r="AL120" s="8">
        <f t="shared" si="112"/>
        <v>0</v>
      </c>
      <c r="AM120" s="183" t="b">
        <f t="shared" si="113"/>
        <v>0</v>
      </c>
      <c r="AN120" s="8">
        <f t="shared" si="114"/>
        <v>0</v>
      </c>
      <c r="AO120" s="54">
        <f t="shared" si="115"/>
        <v>0</v>
      </c>
      <c r="AP120" s="8">
        <f t="shared" si="116"/>
        <v>0</v>
      </c>
      <c r="AQ120" s="8">
        <f t="shared" si="157"/>
        <v>0</v>
      </c>
      <c r="AR120" s="106">
        <f t="shared" si="150"/>
        <v>4.2725</v>
      </c>
      <c r="AS120" s="106">
        <f t="shared" si="151"/>
        <v>0</v>
      </c>
      <c r="AT120" s="106">
        <f t="shared" si="152"/>
        <v>0</v>
      </c>
      <c r="AU120" s="106">
        <f t="shared" si="153"/>
        <v>0</v>
      </c>
      <c r="AV120" s="106">
        <f t="shared" si="154"/>
        <v>0</v>
      </c>
      <c r="AW120" t="b">
        <f t="shared" si="155"/>
        <v>1</v>
      </c>
      <c r="AX120" t="b">
        <f t="shared" si="156"/>
        <v>1</v>
      </c>
    </row>
    <row r="121" spans="1:50" x14ac:dyDescent="0.25">
      <c r="A121" s="1">
        <v>119</v>
      </c>
      <c r="B121" s="10">
        <v>40882</v>
      </c>
      <c r="C121" s="5">
        <v>12</v>
      </c>
      <c r="D121" s="13">
        <v>17</v>
      </c>
      <c r="E121" s="57" t="str">
        <f t="shared" si="125"/>
        <v>Insulin glargine 100 unit/ml injectable solution (Rx - 10ml vial)  [20 units QD; expires 28 days after first use]</v>
      </c>
      <c r="F121" t="str">
        <f t="shared" si="126"/>
        <v>Prescription Drugs: Branded</v>
      </c>
      <c r="G121" t="str">
        <f t="shared" si="127"/>
        <v>Rx Deductible+Co-pay</v>
      </c>
      <c r="H121" s="109">
        <f t="shared" si="128"/>
        <v>275.51</v>
      </c>
      <c r="I121" s="109">
        <f t="shared" si="129"/>
        <v>0</v>
      </c>
      <c r="J121" s="109">
        <f t="shared" si="130"/>
        <v>275.51</v>
      </c>
      <c r="K121" s="5" t="str">
        <f t="shared" si="131"/>
        <v>None</v>
      </c>
      <c r="L121">
        <f t="shared" si="132"/>
        <v>0</v>
      </c>
      <c r="M121" s="3">
        <f t="shared" si="133"/>
        <v>0</v>
      </c>
      <c r="N121" s="5" t="str">
        <f t="shared" si="134"/>
        <v>None</v>
      </c>
      <c r="O121">
        <f t="shared" si="135"/>
        <v>12</v>
      </c>
      <c r="P121" s="3">
        <f t="shared" si="136"/>
        <v>0</v>
      </c>
      <c r="Q121" s="8">
        <f t="shared" si="91"/>
        <v>30</v>
      </c>
      <c r="R121" s="16">
        <f t="shared" si="92"/>
        <v>0</v>
      </c>
      <c r="S121" s="8">
        <f t="shared" si="93"/>
        <v>0</v>
      </c>
      <c r="T121" s="8">
        <f t="shared" si="137"/>
        <v>245.51</v>
      </c>
      <c r="U121" s="5" t="b">
        <f t="shared" si="95"/>
        <v>0</v>
      </c>
      <c r="V121" s="8">
        <f t="shared" si="138"/>
        <v>0</v>
      </c>
      <c r="W121" s="8">
        <f t="shared" si="139"/>
        <v>0</v>
      </c>
      <c r="X121" s="5" t="b">
        <f t="shared" si="98"/>
        <v>1</v>
      </c>
      <c r="Y121" s="8">
        <f t="shared" si="140"/>
        <v>0</v>
      </c>
      <c r="Z121" s="8">
        <f t="shared" si="141"/>
        <v>0</v>
      </c>
      <c r="AA121" s="5" t="b">
        <f t="shared" si="101"/>
        <v>0</v>
      </c>
      <c r="AB121" s="8">
        <f t="shared" si="142"/>
        <v>0</v>
      </c>
      <c r="AC121" s="8">
        <f t="shared" si="143"/>
        <v>0</v>
      </c>
      <c r="AD121" s="5" t="b">
        <f t="shared" si="144"/>
        <v>0</v>
      </c>
      <c r="AE121" s="8">
        <f t="shared" si="145"/>
        <v>0</v>
      </c>
      <c r="AF121" s="8">
        <f t="shared" si="146"/>
        <v>0</v>
      </c>
      <c r="AG121" s="5" t="b">
        <f t="shared" si="107"/>
        <v>0</v>
      </c>
      <c r="AH121" s="8">
        <f t="shared" si="147"/>
        <v>0</v>
      </c>
      <c r="AI121" s="8">
        <f t="shared" si="148"/>
        <v>0</v>
      </c>
      <c r="AJ121" s="24">
        <f t="shared" si="149"/>
        <v>0</v>
      </c>
      <c r="AK121" s="8">
        <f t="shared" si="111"/>
        <v>275.51</v>
      </c>
      <c r="AL121" s="8">
        <f t="shared" si="112"/>
        <v>30</v>
      </c>
      <c r="AM121" s="183" t="b">
        <f t="shared" si="113"/>
        <v>1</v>
      </c>
      <c r="AN121" s="8">
        <f t="shared" si="114"/>
        <v>30</v>
      </c>
      <c r="AO121" s="54">
        <f t="shared" si="115"/>
        <v>3009.9999999999995</v>
      </c>
      <c r="AP121" s="8">
        <f t="shared" si="116"/>
        <v>30</v>
      </c>
      <c r="AQ121" s="8">
        <f t="shared" si="157"/>
        <v>245.51</v>
      </c>
      <c r="AR121" s="106">
        <f t="shared" si="150"/>
        <v>0</v>
      </c>
      <c r="AS121" s="106">
        <f t="shared" si="151"/>
        <v>0</v>
      </c>
      <c r="AT121" s="106">
        <f t="shared" si="152"/>
        <v>30</v>
      </c>
      <c r="AU121" s="106">
        <f t="shared" si="153"/>
        <v>0</v>
      </c>
      <c r="AV121" s="106">
        <f t="shared" si="154"/>
        <v>0</v>
      </c>
      <c r="AW121" t="b">
        <f t="shared" si="155"/>
        <v>1</v>
      </c>
      <c r="AX121" t="b">
        <f t="shared" si="156"/>
        <v>1</v>
      </c>
    </row>
    <row r="122" spans="1:50" x14ac:dyDescent="0.25">
      <c r="A122" s="1">
        <v>120</v>
      </c>
      <c r="B122" s="10">
        <v>40896</v>
      </c>
      <c r="C122" s="5">
        <v>12</v>
      </c>
      <c r="D122" s="13">
        <v>5</v>
      </c>
      <c r="E122" s="57" t="str">
        <f t="shared" si="125"/>
        <v>OneTouch Delica Lancets (100 per box)  [usage = 60 lancets per month]</v>
      </c>
      <c r="F122" t="str">
        <f t="shared" si="126"/>
        <v>Medical Supplies</v>
      </c>
      <c r="G122" t="str">
        <f t="shared" si="127"/>
        <v>Plan Deductible Only</v>
      </c>
      <c r="H122" s="109">
        <f t="shared" si="128"/>
        <v>10.38</v>
      </c>
      <c r="I122" s="109">
        <f t="shared" si="129"/>
        <v>0</v>
      </c>
      <c r="J122" s="109">
        <f t="shared" si="130"/>
        <v>10.38</v>
      </c>
      <c r="K122" s="5" t="str">
        <f t="shared" si="131"/>
        <v>None</v>
      </c>
      <c r="L122">
        <f t="shared" si="132"/>
        <v>0</v>
      </c>
      <c r="M122" s="3">
        <f t="shared" si="133"/>
        <v>0</v>
      </c>
      <c r="N122" s="5" t="str">
        <f t="shared" si="134"/>
        <v>None</v>
      </c>
      <c r="O122">
        <f t="shared" si="135"/>
        <v>7</v>
      </c>
      <c r="P122" s="3">
        <f t="shared" si="136"/>
        <v>0</v>
      </c>
      <c r="Q122" s="8">
        <f t="shared" si="91"/>
        <v>0</v>
      </c>
      <c r="R122" s="16">
        <f t="shared" si="92"/>
        <v>0</v>
      </c>
      <c r="S122" s="8">
        <f t="shared" si="93"/>
        <v>0</v>
      </c>
      <c r="T122" s="8">
        <f t="shared" si="137"/>
        <v>10.38</v>
      </c>
      <c r="U122" s="5" t="b">
        <f t="shared" si="95"/>
        <v>1</v>
      </c>
      <c r="V122" s="8">
        <f t="shared" si="138"/>
        <v>0</v>
      </c>
      <c r="W122" s="8">
        <f t="shared" si="139"/>
        <v>0</v>
      </c>
      <c r="X122" s="5" t="b">
        <f t="shared" si="98"/>
        <v>0</v>
      </c>
      <c r="Y122" s="8">
        <f t="shared" si="140"/>
        <v>0</v>
      </c>
      <c r="Z122" s="8">
        <f t="shared" si="141"/>
        <v>0</v>
      </c>
      <c r="AA122" s="5" t="b">
        <f t="shared" si="101"/>
        <v>0</v>
      </c>
      <c r="AB122" s="8">
        <f t="shared" si="142"/>
        <v>0</v>
      </c>
      <c r="AC122" s="8">
        <f t="shared" si="143"/>
        <v>0</v>
      </c>
      <c r="AD122" s="5" t="b">
        <f t="shared" si="144"/>
        <v>0</v>
      </c>
      <c r="AE122" s="8">
        <f t="shared" si="145"/>
        <v>0</v>
      </c>
      <c r="AF122" s="8">
        <f t="shared" si="146"/>
        <v>0</v>
      </c>
      <c r="AG122" s="5" t="b">
        <f t="shared" si="107"/>
        <v>0</v>
      </c>
      <c r="AH122" s="8">
        <f t="shared" si="147"/>
        <v>0</v>
      </c>
      <c r="AI122" s="8">
        <f t="shared" si="148"/>
        <v>0</v>
      </c>
      <c r="AJ122" s="24">
        <f t="shared" si="149"/>
        <v>0</v>
      </c>
      <c r="AK122" s="8">
        <f t="shared" si="111"/>
        <v>10.38</v>
      </c>
      <c r="AL122" s="8">
        <f t="shared" si="112"/>
        <v>0</v>
      </c>
      <c r="AM122" s="183" t="b">
        <f t="shared" si="113"/>
        <v>1</v>
      </c>
      <c r="AN122" s="8">
        <f t="shared" si="114"/>
        <v>0</v>
      </c>
      <c r="AO122" s="54">
        <f t="shared" si="115"/>
        <v>2979.9999999999995</v>
      </c>
      <c r="AP122" s="8">
        <f t="shared" si="116"/>
        <v>0</v>
      </c>
      <c r="AQ122" s="8">
        <f t="shared" si="157"/>
        <v>10.38</v>
      </c>
      <c r="AR122" s="106">
        <f t="shared" si="150"/>
        <v>0</v>
      </c>
      <c r="AS122" s="106">
        <f t="shared" si="151"/>
        <v>0</v>
      </c>
      <c r="AT122" s="106">
        <f t="shared" si="152"/>
        <v>0</v>
      </c>
      <c r="AU122" s="106">
        <f t="shared" si="153"/>
        <v>0</v>
      </c>
      <c r="AV122" s="106">
        <f t="shared" si="154"/>
        <v>0</v>
      </c>
      <c r="AW122" t="b">
        <f t="shared" si="155"/>
        <v>1</v>
      </c>
      <c r="AX122" t="b">
        <f t="shared" si="156"/>
        <v>1</v>
      </c>
    </row>
    <row r="123" spans="1:50" x14ac:dyDescent="0.25">
      <c r="A123" s="1">
        <v>121</v>
      </c>
      <c r="B123" s="10">
        <v>40896</v>
      </c>
      <c r="C123" s="5">
        <v>12</v>
      </c>
      <c r="D123" s="13">
        <v>4</v>
      </c>
      <c r="E123" s="57" t="str">
        <f t="shared" si="125"/>
        <v xml:space="preserve">OneTouch Ultra Blue Test Strips (Rx - box of 100) [usage = 2 strips/day; 60 per month] </v>
      </c>
      <c r="F123" t="str">
        <f t="shared" si="126"/>
        <v>Medical Supplies</v>
      </c>
      <c r="G123" t="str">
        <f t="shared" si="127"/>
        <v>Plan Deductible Only</v>
      </c>
      <c r="H123" s="109">
        <f t="shared" si="128"/>
        <v>125.26</v>
      </c>
      <c r="I123" s="109">
        <f t="shared" si="129"/>
        <v>0</v>
      </c>
      <c r="J123" s="109">
        <f t="shared" si="130"/>
        <v>125.26</v>
      </c>
      <c r="K123" s="5" t="str">
        <f t="shared" si="131"/>
        <v>None</v>
      </c>
      <c r="L123">
        <f t="shared" si="132"/>
        <v>0</v>
      </c>
      <c r="M123" s="3">
        <f t="shared" si="133"/>
        <v>0</v>
      </c>
      <c r="N123" s="5" t="str">
        <f t="shared" si="134"/>
        <v>None</v>
      </c>
      <c r="O123">
        <f t="shared" si="135"/>
        <v>7</v>
      </c>
      <c r="P123" s="3">
        <f t="shared" si="136"/>
        <v>0</v>
      </c>
      <c r="Q123" s="8">
        <f t="shared" si="91"/>
        <v>0</v>
      </c>
      <c r="R123" s="16">
        <f t="shared" si="92"/>
        <v>0</v>
      </c>
      <c r="S123" s="8">
        <f t="shared" si="93"/>
        <v>0</v>
      </c>
      <c r="T123" s="8">
        <f t="shared" si="137"/>
        <v>125.26</v>
      </c>
      <c r="U123" s="5" t="b">
        <f t="shared" si="95"/>
        <v>1</v>
      </c>
      <c r="V123" s="8">
        <f t="shared" si="138"/>
        <v>0</v>
      </c>
      <c r="W123" s="8">
        <f t="shared" si="139"/>
        <v>0</v>
      </c>
      <c r="X123" s="5" t="b">
        <f t="shared" si="98"/>
        <v>0</v>
      </c>
      <c r="Y123" s="8">
        <f t="shared" si="140"/>
        <v>0</v>
      </c>
      <c r="Z123" s="8">
        <f t="shared" si="141"/>
        <v>0</v>
      </c>
      <c r="AA123" s="5" t="b">
        <f t="shared" si="101"/>
        <v>0</v>
      </c>
      <c r="AB123" s="8">
        <f t="shared" si="142"/>
        <v>0</v>
      </c>
      <c r="AC123" s="8">
        <f t="shared" si="143"/>
        <v>0</v>
      </c>
      <c r="AD123" s="5" t="b">
        <f t="shared" si="144"/>
        <v>0</v>
      </c>
      <c r="AE123" s="8">
        <f t="shared" si="145"/>
        <v>0</v>
      </c>
      <c r="AF123" s="8">
        <f t="shared" si="146"/>
        <v>0</v>
      </c>
      <c r="AG123" s="5" t="b">
        <f t="shared" si="107"/>
        <v>0</v>
      </c>
      <c r="AH123" s="8">
        <f t="shared" si="147"/>
        <v>0</v>
      </c>
      <c r="AI123" s="8">
        <f t="shared" si="148"/>
        <v>0</v>
      </c>
      <c r="AJ123" s="24">
        <f t="shared" si="149"/>
        <v>0</v>
      </c>
      <c r="AK123" s="8">
        <f t="shared" si="111"/>
        <v>125.26</v>
      </c>
      <c r="AL123" s="8">
        <f t="shared" si="112"/>
        <v>0</v>
      </c>
      <c r="AM123" s="183" t="b">
        <f t="shared" si="113"/>
        <v>1</v>
      </c>
      <c r="AN123" s="8">
        <f t="shared" si="114"/>
        <v>0</v>
      </c>
      <c r="AO123" s="54">
        <f t="shared" si="115"/>
        <v>2979.9999999999995</v>
      </c>
      <c r="AP123" s="8">
        <f t="shared" si="116"/>
        <v>0</v>
      </c>
      <c r="AQ123" s="8">
        <f t="shared" si="157"/>
        <v>125.26</v>
      </c>
      <c r="AR123" s="106">
        <f t="shared" si="150"/>
        <v>0</v>
      </c>
      <c r="AS123" s="106">
        <f t="shared" si="151"/>
        <v>0</v>
      </c>
      <c r="AT123" s="106">
        <f t="shared" si="152"/>
        <v>0</v>
      </c>
      <c r="AU123" s="106">
        <f t="shared" si="153"/>
        <v>0</v>
      </c>
      <c r="AV123" s="106">
        <f t="shared" si="154"/>
        <v>0</v>
      </c>
      <c r="AW123" t="b">
        <f t="shared" si="155"/>
        <v>1</v>
      </c>
      <c r="AX123" t="b">
        <f t="shared" si="156"/>
        <v>1</v>
      </c>
    </row>
    <row r="124" spans="1:50" x14ac:dyDescent="0.25">
      <c r="A124" s="1">
        <v>122</v>
      </c>
      <c r="B124" s="10">
        <v>40906</v>
      </c>
      <c r="C124" s="5">
        <v>12</v>
      </c>
      <c r="D124" s="13">
        <v>25</v>
      </c>
      <c r="E124" s="57" t="str">
        <f t="shared" si="125"/>
        <v>Alcohol swabs (OTC - box of 100)  [usage = 3 wipes/day; 90 wipes/month]</v>
      </c>
      <c r="F124" t="str">
        <f t="shared" si="126"/>
        <v>Over-the-counter Drugs</v>
      </c>
      <c r="G124" t="str">
        <f t="shared" si="127"/>
        <v>Not Covered</v>
      </c>
      <c r="H124" s="109">
        <f t="shared" si="128"/>
        <v>2.6074999999999999</v>
      </c>
      <c r="I124" s="109">
        <f t="shared" si="129"/>
        <v>2.6074999999999999</v>
      </c>
      <c r="J124" s="109">
        <f t="shared" si="130"/>
        <v>0</v>
      </c>
      <c r="K124" s="5" t="str">
        <f t="shared" si="131"/>
        <v>None</v>
      </c>
      <c r="L124">
        <f t="shared" si="132"/>
        <v>0</v>
      </c>
      <c r="M124" s="3">
        <f t="shared" si="133"/>
        <v>0</v>
      </c>
      <c r="N124" s="5" t="str">
        <f t="shared" si="134"/>
        <v>None</v>
      </c>
      <c r="O124">
        <f t="shared" si="135"/>
        <v>12</v>
      </c>
      <c r="P124" s="3">
        <f t="shared" si="136"/>
        <v>0</v>
      </c>
      <c r="Q124" s="8">
        <f t="shared" si="91"/>
        <v>0</v>
      </c>
      <c r="R124" s="16">
        <f t="shared" si="92"/>
        <v>0</v>
      </c>
      <c r="S124" s="8">
        <f t="shared" si="93"/>
        <v>0</v>
      </c>
      <c r="T124" s="8">
        <f t="shared" si="137"/>
        <v>0</v>
      </c>
      <c r="U124" s="5" t="b">
        <f t="shared" si="95"/>
        <v>0</v>
      </c>
      <c r="V124" s="8">
        <f t="shared" si="138"/>
        <v>0</v>
      </c>
      <c r="W124" s="8">
        <f t="shared" si="139"/>
        <v>0</v>
      </c>
      <c r="X124" s="5" t="b">
        <f t="shared" si="98"/>
        <v>0</v>
      </c>
      <c r="Y124" s="8">
        <f t="shared" si="140"/>
        <v>0</v>
      </c>
      <c r="Z124" s="8">
        <f t="shared" si="141"/>
        <v>0</v>
      </c>
      <c r="AA124" s="5" t="b">
        <f t="shared" si="101"/>
        <v>0</v>
      </c>
      <c r="AB124" s="8">
        <f t="shared" si="142"/>
        <v>0</v>
      </c>
      <c r="AC124" s="8">
        <f t="shared" si="143"/>
        <v>0</v>
      </c>
      <c r="AD124" s="5" t="b">
        <f t="shared" si="144"/>
        <v>0</v>
      </c>
      <c r="AE124" s="8">
        <f t="shared" si="145"/>
        <v>0</v>
      </c>
      <c r="AF124" s="8">
        <f t="shared" si="146"/>
        <v>0</v>
      </c>
      <c r="AG124" s="5" t="b">
        <f t="shared" si="107"/>
        <v>0</v>
      </c>
      <c r="AH124" s="8">
        <f t="shared" si="147"/>
        <v>0</v>
      </c>
      <c r="AI124" s="8">
        <f t="shared" si="148"/>
        <v>0</v>
      </c>
      <c r="AJ124" s="24">
        <f t="shared" si="149"/>
        <v>0</v>
      </c>
      <c r="AK124" s="8">
        <f t="shared" si="111"/>
        <v>0</v>
      </c>
      <c r="AL124" s="8">
        <f t="shared" si="112"/>
        <v>0</v>
      </c>
      <c r="AM124" s="183" t="b">
        <f t="shared" si="113"/>
        <v>0</v>
      </c>
      <c r="AN124" s="8">
        <f t="shared" si="114"/>
        <v>0</v>
      </c>
      <c r="AO124" s="54">
        <f t="shared" si="115"/>
        <v>0</v>
      </c>
      <c r="AP124" s="8">
        <f t="shared" si="116"/>
        <v>0</v>
      </c>
      <c r="AQ124" s="8">
        <f t="shared" si="157"/>
        <v>0</v>
      </c>
      <c r="AR124" s="106">
        <f t="shared" si="150"/>
        <v>2.6074999999999999</v>
      </c>
      <c r="AS124" s="106">
        <f t="shared" si="151"/>
        <v>0</v>
      </c>
      <c r="AT124" s="106">
        <f t="shared" si="152"/>
        <v>0</v>
      </c>
      <c r="AU124" s="106">
        <f t="shared" si="153"/>
        <v>0</v>
      </c>
      <c r="AV124" s="106">
        <f t="shared" si="154"/>
        <v>0</v>
      </c>
      <c r="AW124" t="b">
        <f t="shared" si="155"/>
        <v>1</v>
      </c>
      <c r="AX124" t="b">
        <f t="shared" si="156"/>
        <v>1</v>
      </c>
    </row>
    <row r="125" spans="1:50" x14ac:dyDescent="0.25">
      <c r="A125" s="1">
        <v>123</v>
      </c>
      <c r="B125" s="10">
        <v>40906</v>
      </c>
      <c r="C125" s="5">
        <v>12</v>
      </c>
      <c r="D125" s="13">
        <v>14</v>
      </c>
      <c r="E125" s="57" t="str">
        <f t="shared" si="125"/>
        <v>BD Ultrafine Insulin Syringes / 30G/ 0.5cc  [usage = 30 syringes per month]</v>
      </c>
      <c r="F125" t="str">
        <f t="shared" si="126"/>
        <v>Medical Supplies</v>
      </c>
      <c r="G125" t="str">
        <f t="shared" si="127"/>
        <v>Plan Deductible Only</v>
      </c>
      <c r="H125" s="109">
        <f t="shared" si="128"/>
        <v>42.66</v>
      </c>
      <c r="I125" s="109">
        <f t="shared" si="129"/>
        <v>0</v>
      </c>
      <c r="J125" s="109">
        <f t="shared" si="130"/>
        <v>42.66</v>
      </c>
      <c r="K125" s="5" t="str">
        <f t="shared" si="131"/>
        <v>None</v>
      </c>
      <c r="L125">
        <f t="shared" si="132"/>
        <v>0</v>
      </c>
      <c r="M125" s="3">
        <f t="shared" si="133"/>
        <v>0</v>
      </c>
      <c r="N125" s="5" t="str">
        <f t="shared" si="134"/>
        <v>None</v>
      </c>
      <c r="O125">
        <f t="shared" si="135"/>
        <v>12</v>
      </c>
      <c r="P125" s="3">
        <f t="shared" si="136"/>
        <v>0</v>
      </c>
      <c r="Q125" s="8">
        <f t="shared" si="91"/>
        <v>0</v>
      </c>
      <c r="R125" s="16">
        <f t="shared" si="92"/>
        <v>0</v>
      </c>
      <c r="S125" s="8">
        <f t="shared" si="93"/>
        <v>0</v>
      </c>
      <c r="T125" s="8">
        <f t="shared" si="137"/>
        <v>42.66</v>
      </c>
      <c r="U125" s="5" t="b">
        <f t="shared" si="95"/>
        <v>1</v>
      </c>
      <c r="V125" s="8">
        <f t="shared" si="138"/>
        <v>0</v>
      </c>
      <c r="W125" s="8">
        <f t="shared" si="139"/>
        <v>0</v>
      </c>
      <c r="X125" s="5" t="b">
        <f t="shared" si="98"/>
        <v>0</v>
      </c>
      <c r="Y125" s="8">
        <f t="shared" si="140"/>
        <v>0</v>
      </c>
      <c r="Z125" s="8">
        <f t="shared" si="141"/>
        <v>0</v>
      </c>
      <c r="AA125" s="5" t="b">
        <f t="shared" si="101"/>
        <v>0</v>
      </c>
      <c r="AB125" s="8">
        <f t="shared" si="142"/>
        <v>0</v>
      </c>
      <c r="AC125" s="8">
        <f t="shared" si="143"/>
        <v>0</v>
      </c>
      <c r="AD125" s="5" t="b">
        <f t="shared" si="144"/>
        <v>0</v>
      </c>
      <c r="AE125" s="8">
        <f t="shared" si="145"/>
        <v>0</v>
      </c>
      <c r="AF125" s="8">
        <f t="shared" si="146"/>
        <v>0</v>
      </c>
      <c r="AG125" s="5" t="b">
        <f t="shared" si="107"/>
        <v>0</v>
      </c>
      <c r="AH125" s="8">
        <f t="shared" si="147"/>
        <v>0</v>
      </c>
      <c r="AI125" s="8">
        <f t="shared" si="148"/>
        <v>0</v>
      </c>
      <c r="AJ125" s="24">
        <f t="shared" si="149"/>
        <v>0</v>
      </c>
      <c r="AK125" s="8">
        <f t="shared" si="111"/>
        <v>42.66</v>
      </c>
      <c r="AL125" s="8">
        <f t="shared" si="112"/>
        <v>0</v>
      </c>
      <c r="AM125" s="183" t="b">
        <f t="shared" si="113"/>
        <v>1</v>
      </c>
      <c r="AN125" s="8">
        <f t="shared" si="114"/>
        <v>0</v>
      </c>
      <c r="AO125" s="54">
        <f t="shared" si="115"/>
        <v>2979.9999999999995</v>
      </c>
      <c r="AP125" s="8">
        <f t="shared" si="116"/>
        <v>0</v>
      </c>
      <c r="AQ125" s="8">
        <f t="shared" si="157"/>
        <v>42.66</v>
      </c>
      <c r="AR125" s="106">
        <f t="shared" si="150"/>
        <v>0</v>
      </c>
      <c r="AS125" s="106">
        <f t="shared" si="151"/>
        <v>0</v>
      </c>
      <c r="AT125" s="106">
        <f t="shared" si="152"/>
        <v>0</v>
      </c>
      <c r="AU125" s="106">
        <f t="shared" si="153"/>
        <v>0</v>
      </c>
      <c r="AV125" s="106">
        <f t="shared" si="154"/>
        <v>0</v>
      </c>
      <c r="AW125" t="b">
        <f t="shared" si="155"/>
        <v>1</v>
      </c>
      <c r="AX125" t="b">
        <f t="shared" si="156"/>
        <v>1</v>
      </c>
    </row>
    <row r="126" spans="1:50" x14ac:dyDescent="0.25">
      <c r="A126" s="1">
        <v>124</v>
      </c>
      <c r="B126" s="10">
        <v>40906</v>
      </c>
      <c r="C126" s="5">
        <v>12</v>
      </c>
      <c r="D126" s="13">
        <v>6</v>
      </c>
      <c r="E126" s="57" t="str">
        <f t="shared" si="125"/>
        <v>OneTouch Ultra Control Solution (2 vials/box)</v>
      </c>
      <c r="F126" t="str">
        <f t="shared" si="126"/>
        <v>Medical Supplies</v>
      </c>
      <c r="G126" t="str">
        <f t="shared" si="127"/>
        <v>Plan Deductible Only</v>
      </c>
      <c r="H126" s="109">
        <f t="shared" si="128"/>
        <v>5.07</v>
      </c>
      <c r="I126" s="109">
        <f t="shared" si="129"/>
        <v>0</v>
      </c>
      <c r="J126" s="109">
        <f t="shared" si="130"/>
        <v>5.07</v>
      </c>
      <c r="K126" s="5" t="str">
        <f t="shared" si="131"/>
        <v>None</v>
      </c>
      <c r="L126">
        <f t="shared" si="132"/>
        <v>0</v>
      </c>
      <c r="M126" s="3">
        <f t="shared" si="133"/>
        <v>0</v>
      </c>
      <c r="N126" s="5" t="str">
        <f t="shared" si="134"/>
        <v>None</v>
      </c>
      <c r="O126">
        <f t="shared" si="135"/>
        <v>2</v>
      </c>
      <c r="P126" s="3">
        <f t="shared" si="136"/>
        <v>0</v>
      </c>
      <c r="Q126" s="8">
        <f t="shared" si="91"/>
        <v>0</v>
      </c>
      <c r="R126" s="16">
        <f t="shared" si="92"/>
        <v>0</v>
      </c>
      <c r="S126" s="8">
        <f t="shared" si="93"/>
        <v>0</v>
      </c>
      <c r="T126" s="8">
        <f t="shared" si="137"/>
        <v>5.07</v>
      </c>
      <c r="U126" s="5" t="b">
        <f t="shared" si="95"/>
        <v>1</v>
      </c>
      <c r="V126" s="8">
        <f t="shared" si="138"/>
        <v>0</v>
      </c>
      <c r="W126" s="8">
        <f t="shared" si="139"/>
        <v>0</v>
      </c>
      <c r="X126" s="5" t="b">
        <f t="shared" si="98"/>
        <v>0</v>
      </c>
      <c r="Y126" s="8">
        <f t="shared" si="140"/>
        <v>0</v>
      </c>
      <c r="Z126" s="8">
        <f t="shared" si="141"/>
        <v>0</v>
      </c>
      <c r="AA126" s="5" t="b">
        <f t="shared" si="101"/>
        <v>0</v>
      </c>
      <c r="AB126" s="8">
        <f t="shared" si="142"/>
        <v>0</v>
      </c>
      <c r="AC126" s="8">
        <f t="shared" si="143"/>
        <v>0</v>
      </c>
      <c r="AD126" s="5" t="b">
        <f t="shared" si="144"/>
        <v>0</v>
      </c>
      <c r="AE126" s="8">
        <f t="shared" si="145"/>
        <v>0</v>
      </c>
      <c r="AF126" s="8">
        <f t="shared" si="146"/>
        <v>0</v>
      </c>
      <c r="AG126" s="5" t="b">
        <f t="shared" si="107"/>
        <v>0</v>
      </c>
      <c r="AH126" s="8">
        <f t="shared" si="147"/>
        <v>0</v>
      </c>
      <c r="AI126" s="8">
        <f t="shared" si="148"/>
        <v>0</v>
      </c>
      <c r="AJ126" s="24">
        <f t="shared" si="149"/>
        <v>0</v>
      </c>
      <c r="AK126" s="8">
        <f t="shared" si="111"/>
        <v>5.07</v>
      </c>
      <c r="AL126" s="8">
        <f t="shared" si="112"/>
        <v>0</v>
      </c>
      <c r="AM126" s="183" t="b">
        <f t="shared" si="113"/>
        <v>1</v>
      </c>
      <c r="AN126" s="8">
        <f t="shared" si="114"/>
        <v>0</v>
      </c>
      <c r="AO126" s="54">
        <f t="shared" si="115"/>
        <v>2979.9999999999995</v>
      </c>
      <c r="AP126" s="8">
        <f t="shared" si="116"/>
        <v>0</v>
      </c>
      <c r="AQ126" s="8">
        <f t="shared" si="157"/>
        <v>5.07</v>
      </c>
      <c r="AR126" s="106">
        <f t="shared" si="150"/>
        <v>0</v>
      </c>
      <c r="AS126" s="106">
        <f t="shared" si="151"/>
        <v>0</v>
      </c>
      <c r="AT126" s="106">
        <f t="shared" si="152"/>
        <v>0</v>
      </c>
      <c r="AU126" s="106">
        <f t="shared" si="153"/>
        <v>0</v>
      </c>
      <c r="AV126" s="106">
        <f t="shared" si="154"/>
        <v>0</v>
      </c>
      <c r="AW126" t="b">
        <f t="shared" si="155"/>
        <v>1</v>
      </c>
      <c r="AX126" t="b">
        <f t="shared" si="156"/>
        <v>1</v>
      </c>
    </row>
    <row r="127" spans="1:50" x14ac:dyDescent="0.25">
      <c r="A127" s="1">
        <v>125</v>
      </c>
      <c r="B127" s="10">
        <v>40906</v>
      </c>
      <c r="C127" s="5">
        <v>12</v>
      </c>
      <c r="D127" s="13">
        <v>32</v>
      </c>
      <c r="E127" s="57" t="str">
        <f t="shared" si="125"/>
        <v>METFORMIN HCL 850 MG TABLET</v>
      </c>
      <c r="F127" t="str">
        <f t="shared" si="126"/>
        <v>Prescription Drugs: Generic</v>
      </c>
      <c r="G127" t="str">
        <f t="shared" si="127"/>
        <v>Rx Deductible+Co-pay</v>
      </c>
      <c r="H127" s="109">
        <f t="shared" si="128"/>
        <v>9.19</v>
      </c>
      <c r="I127" s="109">
        <f t="shared" si="129"/>
        <v>0</v>
      </c>
      <c r="J127" s="109">
        <f t="shared" si="130"/>
        <v>9.19</v>
      </c>
      <c r="K127" s="5" t="str">
        <f t="shared" si="131"/>
        <v>None</v>
      </c>
      <c r="L127">
        <f t="shared" si="132"/>
        <v>0</v>
      </c>
      <c r="M127" s="3">
        <f t="shared" si="133"/>
        <v>0</v>
      </c>
      <c r="N127" s="5" t="str">
        <f t="shared" si="134"/>
        <v>None</v>
      </c>
      <c r="O127">
        <f t="shared" si="135"/>
        <v>12</v>
      </c>
      <c r="P127" s="3">
        <f t="shared" si="136"/>
        <v>0</v>
      </c>
      <c r="Q127" s="8">
        <f t="shared" si="91"/>
        <v>10</v>
      </c>
      <c r="R127" s="16">
        <f t="shared" si="92"/>
        <v>0</v>
      </c>
      <c r="S127" s="8">
        <f t="shared" si="93"/>
        <v>0</v>
      </c>
      <c r="T127" s="8">
        <f t="shared" si="137"/>
        <v>0</v>
      </c>
      <c r="U127" s="5" t="b">
        <f t="shared" si="95"/>
        <v>0</v>
      </c>
      <c r="V127" s="8">
        <f t="shared" si="138"/>
        <v>0</v>
      </c>
      <c r="W127" s="8">
        <f t="shared" si="139"/>
        <v>0</v>
      </c>
      <c r="X127" s="5" t="b">
        <f t="shared" si="98"/>
        <v>1</v>
      </c>
      <c r="Y127" s="8">
        <f t="shared" si="140"/>
        <v>0</v>
      </c>
      <c r="Z127" s="8">
        <f t="shared" si="141"/>
        <v>0</v>
      </c>
      <c r="AA127" s="5" t="b">
        <f t="shared" si="101"/>
        <v>0</v>
      </c>
      <c r="AB127" s="8">
        <f t="shared" si="142"/>
        <v>0</v>
      </c>
      <c r="AC127" s="8">
        <f t="shared" si="143"/>
        <v>0</v>
      </c>
      <c r="AD127" s="5" t="b">
        <f t="shared" si="144"/>
        <v>0</v>
      </c>
      <c r="AE127" s="8">
        <f t="shared" si="145"/>
        <v>0</v>
      </c>
      <c r="AF127" s="8">
        <f t="shared" si="146"/>
        <v>0</v>
      </c>
      <c r="AG127" s="5" t="b">
        <f t="shared" si="107"/>
        <v>0</v>
      </c>
      <c r="AH127" s="8">
        <f t="shared" si="147"/>
        <v>0</v>
      </c>
      <c r="AI127" s="8">
        <f t="shared" si="148"/>
        <v>0</v>
      </c>
      <c r="AJ127" s="24">
        <f t="shared" si="149"/>
        <v>0</v>
      </c>
      <c r="AK127" s="8">
        <f t="shared" si="111"/>
        <v>9.19</v>
      </c>
      <c r="AL127" s="8">
        <f t="shared" si="112"/>
        <v>10</v>
      </c>
      <c r="AM127" s="183" t="b">
        <f t="shared" si="113"/>
        <v>1</v>
      </c>
      <c r="AN127" s="8">
        <f t="shared" si="114"/>
        <v>10</v>
      </c>
      <c r="AO127" s="54">
        <f t="shared" si="115"/>
        <v>2979.9999999999995</v>
      </c>
      <c r="AP127" s="8">
        <f t="shared" si="116"/>
        <v>10</v>
      </c>
      <c r="AQ127" s="8">
        <f t="shared" si="157"/>
        <v>0</v>
      </c>
      <c r="AR127" s="106">
        <f t="shared" si="150"/>
        <v>0</v>
      </c>
      <c r="AS127" s="106">
        <f t="shared" si="151"/>
        <v>0</v>
      </c>
      <c r="AT127" s="106">
        <f t="shared" si="152"/>
        <v>10</v>
      </c>
      <c r="AU127" s="106">
        <f t="shared" si="153"/>
        <v>0</v>
      </c>
      <c r="AV127" s="106">
        <f t="shared" si="154"/>
        <v>0</v>
      </c>
      <c r="AW127" t="b">
        <f t="shared" si="155"/>
        <v>1</v>
      </c>
      <c r="AX127" t="b">
        <f t="shared" si="156"/>
        <v>0</v>
      </c>
    </row>
    <row r="128" spans="1:50" x14ac:dyDescent="0.25">
      <c r="A128" s="1">
        <v>126</v>
      </c>
      <c r="B128" s="10">
        <v>40906</v>
      </c>
      <c r="C128" s="5">
        <v>12</v>
      </c>
      <c r="D128" s="13">
        <v>19</v>
      </c>
      <c r="E128" s="57" t="str">
        <f t="shared" si="125"/>
        <v>Ramipril 10mg (Rx) [1 QD; #30 pills/month]</v>
      </c>
      <c r="F128" t="str">
        <f t="shared" si="126"/>
        <v>Prescription Drugs: Generic</v>
      </c>
      <c r="G128" t="str">
        <f t="shared" si="127"/>
        <v>Rx Deductible+Co-pay</v>
      </c>
      <c r="H128" s="109">
        <f t="shared" si="128"/>
        <v>15.92</v>
      </c>
      <c r="I128" s="109">
        <f t="shared" si="129"/>
        <v>0</v>
      </c>
      <c r="J128" s="109">
        <f t="shared" si="130"/>
        <v>15.92</v>
      </c>
      <c r="K128" s="5" t="str">
        <f t="shared" si="131"/>
        <v>None</v>
      </c>
      <c r="L128">
        <f t="shared" si="132"/>
        <v>0</v>
      </c>
      <c r="M128" s="3">
        <f t="shared" si="133"/>
        <v>0</v>
      </c>
      <c r="N128" s="5" t="str">
        <f t="shared" si="134"/>
        <v>None</v>
      </c>
      <c r="O128">
        <f t="shared" si="135"/>
        <v>12</v>
      </c>
      <c r="P128" s="3">
        <f t="shared" si="136"/>
        <v>0</v>
      </c>
      <c r="Q128" s="8">
        <f t="shared" si="91"/>
        <v>10</v>
      </c>
      <c r="R128" s="16">
        <f t="shared" si="92"/>
        <v>0</v>
      </c>
      <c r="S128" s="8">
        <f t="shared" si="93"/>
        <v>0</v>
      </c>
      <c r="T128" s="8">
        <f t="shared" si="137"/>
        <v>5.92</v>
      </c>
      <c r="U128" s="5" t="b">
        <f t="shared" si="95"/>
        <v>0</v>
      </c>
      <c r="V128" s="8">
        <f t="shared" si="138"/>
        <v>0</v>
      </c>
      <c r="W128" s="8">
        <f t="shared" si="139"/>
        <v>0</v>
      </c>
      <c r="X128" s="5" t="b">
        <f t="shared" si="98"/>
        <v>1</v>
      </c>
      <c r="Y128" s="8">
        <f t="shared" si="140"/>
        <v>0</v>
      </c>
      <c r="Z128" s="8">
        <f t="shared" si="141"/>
        <v>0</v>
      </c>
      <c r="AA128" s="5" t="b">
        <f t="shared" si="101"/>
        <v>0</v>
      </c>
      <c r="AB128" s="8">
        <f t="shared" si="142"/>
        <v>0</v>
      </c>
      <c r="AC128" s="8">
        <f t="shared" si="143"/>
        <v>0</v>
      </c>
      <c r="AD128" s="5" t="b">
        <f t="shared" si="144"/>
        <v>0</v>
      </c>
      <c r="AE128" s="8">
        <f t="shared" si="145"/>
        <v>0</v>
      </c>
      <c r="AF128" s="8">
        <f t="shared" si="146"/>
        <v>0</v>
      </c>
      <c r="AG128" s="5" t="b">
        <f t="shared" si="107"/>
        <v>0</v>
      </c>
      <c r="AH128" s="8">
        <f t="shared" si="147"/>
        <v>0</v>
      </c>
      <c r="AI128" s="8">
        <f t="shared" si="148"/>
        <v>0</v>
      </c>
      <c r="AJ128" s="24">
        <f t="shared" si="149"/>
        <v>0</v>
      </c>
      <c r="AK128" s="8">
        <f t="shared" si="111"/>
        <v>15.92</v>
      </c>
      <c r="AL128" s="8">
        <f t="shared" si="112"/>
        <v>10</v>
      </c>
      <c r="AM128" s="183" t="b">
        <f t="shared" si="113"/>
        <v>1</v>
      </c>
      <c r="AN128" s="8">
        <f t="shared" si="114"/>
        <v>10</v>
      </c>
      <c r="AO128" s="54">
        <f t="shared" si="115"/>
        <v>2969.9999999999995</v>
      </c>
      <c r="AP128" s="8">
        <f t="shared" si="116"/>
        <v>10</v>
      </c>
      <c r="AQ128" s="8">
        <f t="shared" si="157"/>
        <v>5.92</v>
      </c>
      <c r="AR128" s="106">
        <f t="shared" si="150"/>
        <v>0</v>
      </c>
      <c r="AS128" s="106">
        <f t="shared" si="151"/>
        <v>0</v>
      </c>
      <c r="AT128" s="106">
        <f t="shared" si="152"/>
        <v>10</v>
      </c>
      <c r="AU128" s="106">
        <f t="shared" si="153"/>
        <v>0</v>
      </c>
      <c r="AV128" s="106">
        <f t="shared" si="154"/>
        <v>0</v>
      </c>
      <c r="AW128" t="b">
        <f t="shared" si="155"/>
        <v>1</v>
      </c>
      <c r="AX128" t="b">
        <f t="shared" si="156"/>
        <v>1</v>
      </c>
    </row>
    <row r="129" spans="3:16" x14ac:dyDescent="0.25">
      <c r="C129" s="5"/>
      <c r="H129" s="109"/>
      <c r="I129" s="109"/>
      <c r="J129" s="109"/>
      <c r="M129" s="3"/>
      <c r="P129" s="3"/>
    </row>
    <row r="130" spans="3:16" x14ac:dyDescent="0.25">
      <c r="C130" s="5"/>
      <c r="H130" s="109"/>
      <c r="I130" s="109"/>
      <c r="J130" s="109"/>
      <c r="M130" s="3"/>
      <c r="P130" s="3"/>
    </row>
    <row r="131" spans="3:16" x14ac:dyDescent="0.25">
      <c r="C131" s="5"/>
      <c r="H131" s="109"/>
      <c r="I131" s="109"/>
      <c r="J131" s="109"/>
      <c r="M131" s="3"/>
      <c r="P131" s="3"/>
    </row>
    <row r="132" spans="3:16" x14ac:dyDescent="0.25">
      <c r="C132" s="5"/>
      <c r="H132" s="109"/>
      <c r="I132" s="109"/>
      <c r="J132" s="109"/>
      <c r="M132" s="3"/>
      <c r="P132" s="3"/>
    </row>
    <row r="133" spans="3:16" x14ac:dyDescent="0.25">
      <c r="C133" s="5"/>
      <c r="H133" s="109"/>
      <c r="I133" s="109"/>
      <c r="J133" s="109"/>
      <c r="M133" s="3"/>
      <c r="P133" s="3"/>
    </row>
    <row r="134" spans="3:16" x14ac:dyDescent="0.25">
      <c r="C134" s="5"/>
      <c r="H134" s="109"/>
      <c r="I134" s="109"/>
      <c r="J134" s="109"/>
      <c r="M134" s="3"/>
      <c r="P134" s="3"/>
    </row>
    <row r="135" spans="3:16" x14ac:dyDescent="0.25">
      <c r="C135" s="5"/>
      <c r="H135" s="109"/>
      <c r="I135" s="109"/>
      <c r="J135" s="109"/>
      <c r="M135" s="3"/>
      <c r="P135" s="3"/>
    </row>
    <row r="136" spans="3:16" x14ac:dyDescent="0.25">
      <c r="C136" s="5"/>
      <c r="H136" s="109"/>
      <c r="I136" s="109"/>
      <c r="J136" s="109"/>
      <c r="M136" s="3"/>
      <c r="P136" s="3"/>
    </row>
    <row r="137" spans="3:16" x14ac:dyDescent="0.25">
      <c r="C137" s="5"/>
      <c r="H137" s="109"/>
      <c r="I137" s="109"/>
      <c r="J137" s="109"/>
      <c r="M137" s="3"/>
      <c r="P137" s="3"/>
    </row>
    <row r="138" spans="3:16" x14ac:dyDescent="0.25">
      <c r="C138" s="5"/>
      <c r="H138" s="109"/>
      <c r="I138" s="109"/>
      <c r="J138" s="109"/>
      <c r="M138" s="3"/>
      <c r="P138" s="3"/>
    </row>
    <row r="139" spans="3:16" x14ac:dyDescent="0.25">
      <c r="C139" s="5"/>
      <c r="H139" s="109"/>
      <c r="I139" s="109"/>
      <c r="J139" s="109"/>
      <c r="M139" s="3"/>
      <c r="P139" s="3"/>
    </row>
    <row r="140" spans="3:16" x14ac:dyDescent="0.25">
      <c r="C140" s="5"/>
      <c r="H140" s="109"/>
      <c r="I140" s="109"/>
      <c r="J140" s="109"/>
      <c r="M140" s="3"/>
      <c r="P140" s="3"/>
    </row>
    <row r="141" spans="3:16" x14ac:dyDescent="0.25">
      <c r="C141" s="5"/>
      <c r="H141" s="109"/>
      <c r="I141" s="109"/>
      <c r="J141" s="109"/>
      <c r="M141" s="3"/>
      <c r="P141" s="3"/>
    </row>
    <row r="142" spans="3:16" x14ac:dyDescent="0.25">
      <c r="C142" s="5"/>
      <c r="H142" s="109"/>
      <c r="I142" s="109"/>
      <c r="J142" s="109"/>
      <c r="M142" s="3"/>
      <c r="P142" s="3"/>
    </row>
    <row r="143" spans="3:16" x14ac:dyDescent="0.25">
      <c r="C143" s="5"/>
      <c r="H143" s="109"/>
      <c r="I143" s="109"/>
      <c r="J143" s="109"/>
      <c r="M143" s="3"/>
      <c r="P143" s="3"/>
    </row>
    <row r="144" spans="3:16" x14ac:dyDescent="0.25">
      <c r="C144" s="5"/>
      <c r="H144" s="109"/>
      <c r="I144" s="109"/>
      <c r="J144" s="109"/>
      <c r="M144" s="3"/>
      <c r="P144" s="3"/>
    </row>
    <row r="145" spans="3:18" x14ac:dyDescent="0.25">
      <c r="C145" s="5"/>
      <c r="H145" s="109"/>
      <c r="I145" s="109"/>
      <c r="J145" s="109"/>
      <c r="M145" s="3"/>
      <c r="P145" s="3"/>
    </row>
    <row r="146" spans="3:18" x14ac:dyDescent="0.25">
      <c r="C146" s="5"/>
      <c r="H146" s="109"/>
      <c r="I146" s="109"/>
      <c r="J146" s="109"/>
      <c r="M146" s="3"/>
      <c r="P146" s="3"/>
    </row>
    <row r="147" spans="3:18" x14ac:dyDescent="0.25">
      <c r="C147" s="5"/>
      <c r="H147" s="109"/>
      <c r="I147" s="109"/>
      <c r="J147" s="109"/>
      <c r="M147" s="3"/>
      <c r="P147" s="3"/>
    </row>
    <row r="148" spans="3:18" x14ac:dyDescent="0.25">
      <c r="C148" s="5"/>
      <c r="H148" s="109"/>
      <c r="I148" s="109"/>
      <c r="J148" s="109"/>
      <c r="M148" s="3"/>
      <c r="P148" s="3"/>
    </row>
    <row r="149" spans="3:18" x14ac:dyDescent="0.25">
      <c r="C149" s="5"/>
      <c r="H149" s="109"/>
      <c r="I149" s="109"/>
      <c r="J149" s="109"/>
      <c r="M149" s="3"/>
      <c r="P149" s="3"/>
    </row>
    <row r="150" spans="3:18" x14ac:dyDescent="0.25">
      <c r="C150" s="5"/>
      <c r="H150" s="109"/>
      <c r="I150" s="109"/>
      <c r="J150" s="109"/>
      <c r="M150" s="3"/>
      <c r="P150" s="3"/>
    </row>
    <row r="151" spans="3:18" x14ac:dyDescent="0.25">
      <c r="C151" s="5"/>
      <c r="H151" s="109"/>
      <c r="I151" s="109"/>
      <c r="J151" s="109"/>
      <c r="M151" s="3"/>
      <c r="P151" s="3"/>
    </row>
    <row r="152" spans="3:18" x14ac:dyDescent="0.25">
      <c r="C152" s="5"/>
      <c r="H152" s="109"/>
      <c r="I152" s="109"/>
      <c r="J152" s="109"/>
      <c r="M152" s="3"/>
      <c r="P152" s="3"/>
    </row>
    <row r="153" spans="3:18" x14ac:dyDescent="0.25">
      <c r="K153"/>
      <c r="M153" s="8"/>
      <c r="N153"/>
      <c r="P153" s="8"/>
      <c r="R153"/>
    </row>
  </sheetData>
  <autoFilter ref="A2:AP153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4"/>
  <sheetViews>
    <sheetView workbookViewId="0"/>
  </sheetViews>
  <sheetFormatPr defaultRowHeight="15" x14ac:dyDescent="0.25"/>
  <cols>
    <col min="1" max="1" width="10.7109375" customWidth="1"/>
    <col min="2" max="3" width="20.7109375" style="1" customWidth="1"/>
    <col min="4" max="4" width="20.7109375" customWidth="1"/>
    <col min="5" max="5" width="40.7109375" customWidth="1"/>
    <col min="6" max="6" width="40.7109375" style="7" customWidth="1"/>
    <col min="7" max="7" width="16.7109375" customWidth="1"/>
    <col min="8" max="8" width="20.7109375" customWidth="1"/>
    <col min="9" max="9" width="22" bestFit="1" customWidth="1"/>
    <col min="10" max="10" width="15.28515625" style="1" bestFit="1" customWidth="1"/>
  </cols>
  <sheetData>
    <row r="1" spans="1:10" s="2" customFormat="1" ht="45" x14ac:dyDescent="0.25">
      <c r="A1" s="195" t="s">
        <v>21</v>
      </c>
      <c r="B1" s="196" t="s">
        <v>415</v>
      </c>
      <c r="C1" s="196" t="s">
        <v>47</v>
      </c>
      <c r="D1" s="195" t="s">
        <v>48</v>
      </c>
      <c r="E1" s="195" t="s">
        <v>7</v>
      </c>
      <c r="F1" s="195" t="s">
        <v>184</v>
      </c>
      <c r="G1" s="195" t="s">
        <v>49</v>
      </c>
      <c r="H1" s="195" t="s">
        <v>50</v>
      </c>
      <c r="I1" s="195" t="s">
        <v>318</v>
      </c>
      <c r="J1" s="196" t="s">
        <v>319</v>
      </c>
    </row>
    <row r="2" spans="1:10" s="189" customFormat="1" x14ac:dyDescent="0.25">
      <c r="A2" s="189">
        <v>1</v>
      </c>
      <c r="B2" s="190" t="s">
        <v>401</v>
      </c>
      <c r="C2" s="190">
        <v>2803101</v>
      </c>
      <c r="D2" s="189" t="s">
        <v>51</v>
      </c>
      <c r="E2" s="210" t="s">
        <v>39</v>
      </c>
      <c r="F2" s="197" t="s">
        <v>52</v>
      </c>
      <c r="G2" s="191">
        <v>246.17</v>
      </c>
      <c r="I2" s="189" t="b">
        <f t="shared" ref="I2:I34" si="0">IF(ISERROR(VLOOKUP(E2,BenefitCategoryList,1,FALSE)),FALSE,TRUE)</f>
        <v>1</v>
      </c>
      <c r="J2" s="192">
        <f>COUNTIF(DIABETES_TIMELINE!ServiceCode,A2)</f>
        <v>1</v>
      </c>
    </row>
    <row r="3" spans="1:10" s="189" customFormat="1" x14ac:dyDescent="0.25">
      <c r="A3" s="189">
        <v>2</v>
      </c>
      <c r="B3" s="190" t="s">
        <v>401</v>
      </c>
      <c r="C3" s="190">
        <v>36415</v>
      </c>
      <c r="D3" s="189" t="s">
        <v>53</v>
      </c>
      <c r="E3" s="210" t="s">
        <v>38</v>
      </c>
      <c r="F3" s="197" t="s">
        <v>54</v>
      </c>
      <c r="G3" s="191">
        <v>4.17</v>
      </c>
      <c r="I3" s="189" t="b">
        <f t="shared" si="0"/>
        <v>1</v>
      </c>
      <c r="J3" s="192">
        <f>COUNTIF(DIABETES_TIMELINE!ServiceCode,A3)</f>
        <v>2</v>
      </c>
    </row>
    <row r="4" spans="1:10" s="189" customFormat="1" x14ac:dyDescent="0.25">
      <c r="A4" s="189">
        <v>3</v>
      </c>
      <c r="B4" s="190" t="s">
        <v>401</v>
      </c>
      <c r="C4" s="190">
        <v>53885014201</v>
      </c>
      <c r="D4" s="189" t="s">
        <v>51</v>
      </c>
      <c r="E4" s="210" t="s">
        <v>44</v>
      </c>
      <c r="F4" s="197" t="s">
        <v>55</v>
      </c>
      <c r="G4" s="191">
        <v>16.12</v>
      </c>
      <c r="I4" s="189" t="b">
        <f t="shared" si="0"/>
        <v>1</v>
      </c>
      <c r="J4" s="192">
        <f>COUNTIF(DIABETES_TIMELINE!ServiceCode,A4)</f>
        <v>1</v>
      </c>
    </row>
    <row r="5" spans="1:10" s="189" customFormat="1" ht="30" x14ac:dyDescent="0.25">
      <c r="A5" s="189">
        <v>4</v>
      </c>
      <c r="B5" s="190" t="s">
        <v>401</v>
      </c>
      <c r="C5" s="190">
        <v>53885024510</v>
      </c>
      <c r="D5" s="189" t="s">
        <v>51</v>
      </c>
      <c r="E5" s="210" t="s">
        <v>44</v>
      </c>
      <c r="F5" s="197" t="s">
        <v>56</v>
      </c>
      <c r="G5" s="191">
        <v>125.26</v>
      </c>
      <c r="I5" s="189" t="b">
        <f t="shared" si="0"/>
        <v>1</v>
      </c>
      <c r="J5" s="192">
        <f>COUNTIF(DIABETES_TIMELINE!ServiceCode,A5)</f>
        <v>8</v>
      </c>
    </row>
    <row r="6" spans="1:10" s="189" customFormat="1" ht="30" x14ac:dyDescent="0.25">
      <c r="A6" s="189">
        <v>5</v>
      </c>
      <c r="B6" s="190" t="s">
        <v>401</v>
      </c>
      <c r="C6" s="190">
        <v>53885039310</v>
      </c>
      <c r="D6" s="189" t="s">
        <v>51</v>
      </c>
      <c r="E6" s="210" t="s">
        <v>44</v>
      </c>
      <c r="F6" s="197" t="s">
        <v>57</v>
      </c>
      <c r="G6" s="191">
        <v>10.38</v>
      </c>
      <c r="I6" s="189" t="b">
        <f t="shared" si="0"/>
        <v>1</v>
      </c>
      <c r="J6" s="192">
        <f>COUNTIF(DIABETES_TIMELINE!ServiceCode,A6)</f>
        <v>8</v>
      </c>
    </row>
    <row r="7" spans="1:10" s="189" customFormat="1" ht="30" x14ac:dyDescent="0.25">
      <c r="A7" s="189">
        <v>6</v>
      </c>
      <c r="B7" s="190" t="s">
        <v>401</v>
      </c>
      <c r="C7" s="190">
        <v>53885041601</v>
      </c>
      <c r="D7" s="189" t="s">
        <v>51</v>
      </c>
      <c r="E7" s="210" t="s">
        <v>44</v>
      </c>
      <c r="F7" s="197" t="s">
        <v>58</v>
      </c>
      <c r="G7" s="191">
        <v>5.07</v>
      </c>
      <c r="I7" s="189" t="b">
        <f t="shared" si="0"/>
        <v>1</v>
      </c>
      <c r="J7" s="192">
        <f>COUNTIF(DIABETES_TIMELINE!ServiceCode,A7)</f>
        <v>3</v>
      </c>
    </row>
    <row r="8" spans="1:10" s="189" customFormat="1" x14ac:dyDescent="0.25">
      <c r="A8" s="189">
        <v>7</v>
      </c>
      <c r="B8" s="190" t="s">
        <v>401</v>
      </c>
      <c r="C8" s="190">
        <v>53885044801</v>
      </c>
      <c r="D8" s="189" t="s">
        <v>51</v>
      </c>
      <c r="E8" s="210" t="s">
        <v>44</v>
      </c>
      <c r="F8" s="197" t="s">
        <v>59</v>
      </c>
      <c r="G8" s="191">
        <v>56.9</v>
      </c>
      <c r="I8" s="189" t="b">
        <f t="shared" si="0"/>
        <v>1</v>
      </c>
      <c r="J8" s="192">
        <f>COUNTIF(DIABETES_TIMELINE!ServiceCode,A8)</f>
        <v>1</v>
      </c>
    </row>
    <row r="9" spans="1:10" s="189" customFormat="1" x14ac:dyDescent="0.25">
      <c r="A9" s="189">
        <v>8</v>
      </c>
      <c r="B9" s="190" t="s">
        <v>401</v>
      </c>
      <c r="C9" s="190">
        <v>80053</v>
      </c>
      <c r="D9" s="189" t="s">
        <v>53</v>
      </c>
      <c r="E9" s="210" t="s">
        <v>38</v>
      </c>
      <c r="F9" s="197" t="s">
        <v>60</v>
      </c>
      <c r="G9" s="191">
        <v>14.53</v>
      </c>
      <c r="I9" s="189" t="b">
        <f t="shared" si="0"/>
        <v>1</v>
      </c>
      <c r="J9" s="192">
        <f>COUNTIF(DIABETES_TIMELINE!ServiceCode,A9)</f>
        <v>1</v>
      </c>
    </row>
    <row r="10" spans="1:10" s="189" customFormat="1" x14ac:dyDescent="0.25">
      <c r="A10" s="189">
        <v>9</v>
      </c>
      <c r="B10" s="190" t="s">
        <v>401</v>
      </c>
      <c r="C10" s="190">
        <v>80061</v>
      </c>
      <c r="D10" s="189" t="s">
        <v>53</v>
      </c>
      <c r="E10" s="210" t="s">
        <v>38</v>
      </c>
      <c r="F10" s="197" t="s">
        <v>61</v>
      </c>
      <c r="G10" s="191">
        <v>14.42</v>
      </c>
      <c r="I10" s="189" t="b">
        <f t="shared" si="0"/>
        <v>1</v>
      </c>
      <c r="J10" s="192">
        <f>COUNTIF(DIABETES_TIMELINE!ServiceCode,A10)</f>
        <v>1</v>
      </c>
    </row>
    <row r="11" spans="1:10" s="189" customFormat="1" x14ac:dyDescent="0.25">
      <c r="A11" s="189">
        <v>10</v>
      </c>
      <c r="B11" s="190" t="s">
        <v>401</v>
      </c>
      <c r="C11" s="190">
        <v>80069</v>
      </c>
      <c r="D11" s="189" t="s">
        <v>53</v>
      </c>
      <c r="E11" s="210" t="s">
        <v>38</v>
      </c>
      <c r="F11" s="197" t="s">
        <v>62</v>
      </c>
      <c r="G11" s="191">
        <v>11.63</v>
      </c>
      <c r="I11" s="189" t="b">
        <f t="shared" si="0"/>
        <v>1</v>
      </c>
      <c r="J11" s="192">
        <f>COUNTIF(DIABETES_TIMELINE!ServiceCode,A11)</f>
        <v>2</v>
      </c>
    </row>
    <row r="12" spans="1:10" s="189" customFormat="1" x14ac:dyDescent="0.25">
      <c r="A12" s="189">
        <v>11</v>
      </c>
      <c r="B12" s="190" t="s">
        <v>401</v>
      </c>
      <c r="C12" s="190">
        <v>81003</v>
      </c>
      <c r="D12" s="189" t="s">
        <v>53</v>
      </c>
      <c r="E12" s="210" t="s">
        <v>38</v>
      </c>
      <c r="F12" s="197" t="s">
        <v>63</v>
      </c>
      <c r="G12" s="191">
        <v>3.09</v>
      </c>
      <c r="I12" s="189" t="b">
        <f t="shared" si="0"/>
        <v>1</v>
      </c>
      <c r="J12" s="192">
        <f>COUNTIF(DIABETES_TIMELINE!ServiceCode,A12)</f>
        <v>2</v>
      </c>
    </row>
    <row r="13" spans="1:10" s="189" customFormat="1" x14ac:dyDescent="0.25">
      <c r="A13" s="189">
        <v>12</v>
      </c>
      <c r="B13" s="190" t="s">
        <v>401</v>
      </c>
      <c r="C13" s="190">
        <v>82043</v>
      </c>
      <c r="D13" s="189" t="s">
        <v>53</v>
      </c>
      <c r="E13" s="210" t="s">
        <v>38</v>
      </c>
      <c r="F13" s="197" t="s">
        <v>64</v>
      </c>
      <c r="G13" s="191">
        <v>6.32</v>
      </c>
      <c r="I13" s="189" t="b">
        <f t="shared" si="0"/>
        <v>1</v>
      </c>
      <c r="J13" s="192">
        <f>COUNTIF(DIABETES_TIMELINE!ServiceCode,A13)</f>
        <v>1</v>
      </c>
    </row>
    <row r="14" spans="1:10" s="189" customFormat="1" x14ac:dyDescent="0.25">
      <c r="A14" s="189">
        <v>13</v>
      </c>
      <c r="B14" s="190" t="s">
        <v>401</v>
      </c>
      <c r="C14" s="190">
        <v>82570</v>
      </c>
      <c r="D14" s="189" t="s">
        <v>53</v>
      </c>
      <c r="E14" s="210" t="s">
        <v>38</v>
      </c>
      <c r="F14" s="197" t="s">
        <v>65</v>
      </c>
      <c r="G14" s="191">
        <v>5.79</v>
      </c>
      <c r="I14" s="189" t="b">
        <f t="shared" si="0"/>
        <v>1</v>
      </c>
      <c r="J14" s="192">
        <f>COUNTIF(DIABETES_TIMELINE!ServiceCode,A14)</f>
        <v>1</v>
      </c>
    </row>
    <row r="15" spans="1:10" s="189" customFormat="1" ht="30" x14ac:dyDescent="0.25">
      <c r="A15" s="189">
        <v>14</v>
      </c>
      <c r="B15" s="190" t="s">
        <v>401</v>
      </c>
      <c r="C15" s="190">
        <v>8290328279</v>
      </c>
      <c r="D15" s="189" t="s">
        <v>51</v>
      </c>
      <c r="E15" s="210" t="s">
        <v>44</v>
      </c>
      <c r="F15" s="197" t="s">
        <v>66</v>
      </c>
      <c r="G15" s="191">
        <v>42.66</v>
      </c>
      <c r="I15" s="189" t="b">
        <f t="shared" si="0"/>
        <v>1</v>
      </c>
      <c r="J15" s="192">
        <f>COUNTIF(DIABETES_TIMELINE!ServiceCode,A15)</f>
        <v>13</v>
      </c>
    </row>
    <row r="16" spans="1:10" s="189" customFormat="1" x14ac:dyDescent="0.25">
      <c r="A16" s="189">
        <v>15</v>
      </c>
      <c r="B16" s="190" t="s">
        <v>401</v>
      </c>
      <c r="C16" s="190">
        <v>82947</v>
      </c>
      <c r="D16" s="189" t="s">
        <v>53</v>
      </c>
      <c r="E16" s="210" t="s">
        <v>38</v>
      </c>
      <c r="F16" s="197" t="s">
        <v>67</v>
      </c>
      <c r="G16" s="191">
        <v>5.73</v>
      </c>
      <c r="I16" s="189" t="b">
        <f t="shared" si="0"/>
        <v>1</v>
      </c>
      <c r="J16" s="192">
        <f>COUNTIF(DIABETES_TIMELINE!ServiceCode,A16)</f>
        <v>2</v>
      </c>
    </row>
    <row r="17" spans="1:10" s="189" customFormat="1" x14ac:dyDescent="0.25">
      <c r="A17" s="189">
        <v>16</v>
      </c>
      <c r="B17" s="190" t="s">
        <v>401</v>
      </c>
      <c r="C17" s="190">
        <v>83036</v>
      </c>
      <c r="D17" s="189" t="s">
        <v>53</v>
      </c>
      <c r="E17" s="210" t="s">
        <v>38</v>
      </c>
      <c r="F17" s="197" t="s">
        <v>68</v>
      </c>
      <c r="G17" s="191">
        <v>10.85</v>
      </c>
      <c r="I17" s="189" t="b">
        <f t="shared" si="0"/>
        <v>1</v>
      </c>
      <c r="J17" s="192">
        <f>COUNTIF(DIABETES_TIMELINE!ServiceCode,A17)</f>
        <v>4</v>
      </c>
    </row>
    <row r="18" spans="1:10" s="189" customFormat="1" ht="45" x14ac:dyDescent="0.25">
      <c r="A18" s="189">
        <v>17</v>
      </c>
      <c r="B18" s="190" t="s">
        <v>401</v>
      </c>
      <c r="C18" s="190">
        <v>88222033</v>
      </c>
      <c r="D18" s="189" t="s">
        <v>51</v>
      </c>
      <c r="E18" s="210" t="s">
        <v>40</v>
      </c>
      <c r="F18" s="197" t="s">
        <v>69</v>
      </c>
      <c r="G18" s="191">
        <v>275.51</v>
      </c>
      <c r="I18" s="189" t="b">
        <f t="shared" si="0"/>
        <v>1</v>
      </c>
      <c r="J18" s="192">
        <f>COUNTIF(DIABETES_TIMELINE!ServiceCode,A18)</f>
        <v>13</v>
      </c>
    </row>
    <row r="19" spans="1:10" s="189" customFormat="1" ht="30" x14ac:dyDescent="0.25">
      <c r="A19" s="189">
        <v>18</v>
      </c>
      <c r="B19" s="190" t="s">
        <v>401</v>
      </c>
      <c r="C19" s="190">
        <v>93104801</v>
      </c>
      <c r="D19" s="189" t="s">
        <v>51</v>
      </c>
      <c r="E19" s="210" t="s">
        <v>39</v>
      </c>
      <c r="F19" s="197" t="s">
        <v>70</v>
      </c>
      <c r="G19" s="191">
        <v>8.7100000000000009</v>
      </c>
      <c r="H19" s="189" t="s">
        <v>320</v>
      </c>
      <c r="I19" s="189" t="b">
        <f t="shared" si="0"/>
        <v>1</v>
      </c>
      <c r="J19" s="192">
        <f>COUNTIF(DIABETES_TIMELINE!ServiceCode,A19)</f>
        <v>0</v>
      </c>
    </row>
    <row r="20" spans="1:10" s="189" customFormat="1" x14ac:dyDescent="0.25">
      <c r="A20" s="189">
        <v>19</v>
      </c>
      <c r="B20" s="190" t="s">
        <v>401</v>
      </c>
      <c r="C20" s="190">
        <v>93743801</v>
      </c>
      <c r="D20" s="189" t="s">
        <v>51</v>
      </c>
      <c r="E20" s="210" t="s">
        <v>39</v>
      </c>
      <c r="F20" s="197" t="s">
        <v>71</v>
      </c>
      <c r="G20" s="191">
        <v>15.92</v>
      </c>
      <c r="I20" s="189" t="b">
        <f t="shared" si="0"/>
        <v>1</v>
      </c>
      <c r="J20" s="192">
        <f>COUNTIF(DIABETES_TIMELINE!ServiceCode,A20)</f>
        <v>13</v>
      </c>
    </row>
    <row r="21" spans="1:10" s="189" customFormat="1" x14ac:dyDescent="0.25">
      <c r="A21" s="189">
        <v>20</v>
      </c>
      <c r="B21" s="190" t="s">
        <v>401</v>
      </c>
      <c r="C21" s="190">
        <v>97803</v>
      </c>
      <c r="D21" s="189" t="s">
        <v>72</v>
      </c>
      <c r="E21" s="210" t="s">
        <v>34</v>
      </c>
      <c r="F21" s="197" t="s">
        <v>73</v>
      </c>
      <c r="G21" s="191">
        <v>80</v>
      </c>
      <c r="I21" s="189" t="b">
        <f t="shared" si="0"/>
        <v>1</v>
      </c>
      <c r="J21" s="192">
        <f>COUNTIF(DIABETES_TIMELINE!ServiceCode,A21)</f>
        <v>2</v>
      </c>
    </row>
    <row r="22" spans="1:10" s="189" customFormat="1" x14ac:dyDescent="0.25">
      <c r="A22" s="189">
        <v>21</v>
      </c>
      <c r="B22" s="190" t="s">
        <v>401</v>
      </c>
      <c r="C22" s="190">
        <v>98960</v>
      </c>
      <c r="D22" s="189" t="s">
        <v>74</v>
      </c>
      <c r="E22" s="210" t="s">
        <v>34</v>
      </c>
      <c r="F22" s="197" t="s">
        <v>75</v>
      </c>
      <c r="G22" s="191">
        <v>99.9</v>
      </c>
      <c r="I22" s="189" t="b">
        <f t="shared" si="0"/>
        <v>1</v>
      </c>
      <c r="J22" s="192">
        <f>COUNTIF(DIABETES_TIMELINE!ServiceCode,A22)</f>
        <v>2</v>
      </c>
    </row>
    <row r="23" spans="1:10" s="193" customFormat="1" ht="75" x14ac:dyDescent="0.25">
      <c r="A23" s="193">
        <v>22</v>
      </c>
      <c r="B23" s="192" t="s">
        <v>401</v>
      </c>
      <c r="C23" s="192">
        <v>92014</v>
      </c>
      <c r="D23" s="193" t="s">
        <v>76</v>
      </c>
      <c r="E23" s="210" t="s">
        <v>285</v>
      </c>
      <c r="F23" s="198" t="s">
        <v>236</v>
      </c>
      <c r="G23" s="194">
        <v>108.24</v>
      </c>
      <c r="I23" s="189" t="b">
        <f t="shared" si="0"/>
        <v>1</v>
      </c>
      <c r="J23" s="192">
        <f>COUNTIF(DIABETES_TIMELINE!ServiceCode,A23)</f>
        <v>1</v>
      </c>
    </row>
    <row r="24" spans="1:10" s="189" customFormat="1" x14ac:dyDescent="0.25">
      <c r="A24" s="189">
        <v>23</v>
      </c>
      <c r="B24" s="190" t="s">
        <v>401</v>
      </c>
      <c r="C24" s="190">
        <v>99204</v>
      </c>
      <c r="D24" s="189" t="s">
        <v>78</v>
      </c>
      <c r="E24" s="210" t="s">
        <v>285</v>
      </c>
      <c r="F24" s="197" t="s">
        <v>77</v>
      </c>
      <c r="G24" s="191">
        <v>165</v>
      </c>
      <c r="I24" s="189" t="b">
        <f t="shared" si="0"/>
        <v>1</v>
      </c>
      <c r="J24" s="192">
        <f>COUNTIF(DIABETES_TIMELINE!ServiceCode,A24)</f>
        <v>1</v>
      </c>
    </row>
    <row r="25" spans="1:10" s="189" customFormat="1" x14ac:dyDescent="0.25">
      <c r="A25" s="189">
        <v>24</v>
      </c>
      <c r="B25" s="190" t="s">
        <v>401</v>
      </c>
      <c r="C25" s="190">
        <v>99214</v>
      </c>
      <c r="D25" s="189" t="s">
        <v>53</v>
      </c>
      <c r="E25" s="210" t="s">
        <v>34</v>
      </c>
      <c r="F25" s="197" t="s">
        <v>79</v>
      </c>
      <c r="G25" s="191">
        <v>107.87</v>
      </c>
      <c r="I25" s="189" t="b">
        <f t="shared" si="0"/>
        <v>1</v>
      </c>
      <c r="J25" s="192">
        <f>COUNTIF(DIABETES_TIMELINE!ServiceCode,A25)</f>
        <v>4</v>
      </c>
    </row>
    <row r="26" spans="1:10" s="189" customFormat="1" ht="30" x14ac:dyDescent="0.25">
      <c r="A26" s="189">
        <v>25</v>
      </c>
      <c r="B26" s="190" t="s">
        <v>401</v>
      </c>
      <c r="C26" s="190" t="s">
        <v>80</v>
      </c>
      <c r="D26" s="189" t="s">
        <v>51</v>
      </c>
      <c r="E26" s="210" t="s">
        <v>41</v>
      </c>
      <c r="F26" s="197" t="s">
        <v>81</v>
      </c>
      <c r="G26" s="191">
        <v>2.6074999999999999</v>
      </c>
      <c r="I26" s="189" t="b">
        <f t="shared" si="0"/>
        <v>1</v>
      </c>
      <c r="J26" s="192">
        <f>COUNTIF(DIABETES_TIMELINE!ServiceCode,A26)</f>
        <v>13</v>
      </c>
    </row>
    <row r="27" spans="1:10" s="189" customFormat="1" ht="30" x14ac:dyDescent="0.25">
      <c r="A27" s="189">
        <v>26</v>
      </c>
      <c r="B27" s="190" t="s">
        <v>401</v>
      </c>
      <c r="C27" s="190" t="s">
        <v>80</v>
      </c>
      <c r="D27" s="189" t="s">
        <v>51</v>
      </c>
      <c r="E27" s="210" t="s">
        <v>41</v>
      </c>
      <c r="F27" s="197" t="s">
        <v>82</v>
      </c>
      <c r="G27" s="191">
        <v>4.2725</v>
      </c>
      <c r="I27" s="189" t="b">
        <f t="shared" si="0"/>
        <v>1</v>
      </c>
      <c r="J27" s="192">
        <f>COUNTIF(DIABETES_TIMELINE!ServiceCode,A27)</f>
        <v>5</v>
      </c>
    </row>
    <row r="28" spans="1:10" s="189" customFormat="1" x14ac:dyDescent="0.25">
      <c r="A28" s="189">
        <v>27</v>
      </c>
      <c r="B28" s="190" t="s">
        <v>403</v>
      </c>
      <c r="C28" s="190">
        <v>90471</v>
      </c>
      <c r="D28" s="189" t="s">
        <v>53</v>
      </c>
      <c r="E28" s="210" t="s">
        <v>42</v>
      </c>
      <c r="F28" s="197" t="s">
        <v>83</v>
      </c>
      <c r="G28" s="191">
        <v>23</v>
      </c>
      <c r="I28" s="189" t="b">
        <f t="shared" si="0"/>
        <v>1</v>
      </c>
      <c r="J28" s="192">
        <f>COUNTIF(DIABETES_TIMELINE!ServiceCode,A28)</f>
        <v>1</v>
      </c>
    </row>
    <row r="29" spans="1:10" s="189" customFormat="1" x14ac:dyDescent="0.25">
      <c r="A29" s="189">
        <v>28</v>
      </c>
      <c r="B29" s="190" t="s">
        <v>403</v>
      </c>
      <c r="C29" s="190">
        <v>90472</v>
      </c>
      <c r="D29" s="189" t="s">
        <v>53</v>
      </c>
      <c r="E29" s="210" t="s">
        <v>42</v>
      </c>
      <c r="F29" s="197" t="s">
        <v>84</v>
      </c>
      <c r="G29" s="191">
        <v>14.98</v>
      </c>
      <c r="I29" s="189" t="b">
        <f t="shared" si="0"/>
        <v>1</v>
      </c>
      <c r="J29" s="192">
        <f>COUNTIF(DIABETES_TIMELINE!ServiceCode,A29)</f>
        <v>1</v>
      </c>
    </row>
    <row r="30" spans="1:10" s="189" customFormat="1" x14ac:dyDescent="0.25">
      <c r="A30" s="189">
        <v>29</v>
      </c>
      <c r="B30" s="190" t="s">
        <v>403</v>
      </c>
      <c r="C30" s="190">
        <v>90669</v>
      </c>
      <c r="D30" s="189" t="s">
        <v>53</v>
      </c>
      <c r="E30" s="210" t="s">
        <v>42</v>
      </c>
      <c r="F30" s="197" t="s">
        <v>85</v>
      </c>
      <c r="G30" s="191">
        <v>97.86</v>
      </c>
      <c r="I30" s="189" t="b">
        <f t="shared" si="0"/>
        <v>1</v>
      </c>
      <c r="J30" s="192">
        <f>COUNTIF(DIABETES_TIMELINE!ServiceCode,A30)</f>
        <v>1</v>
      </c>
    </row>
    <row r="31" spans="1:10" s="189" customFormat="1" x14ac:dyDescent="0.25">
      <c r="A31" s="189">
        <v>30</v>
      </c>
      <c r="B31" s="190" t="s">
        <v>403</v>
      </c>
      <c r="C31" s="190">
        <v>90656</v>
      </c>
      <c r="D31" s="189" t="s">
        <v>53</v>
      </c>
      <c r="E31" s="210" t="s">
        <v>42</v>
      </c>
      <c r="F31" s="197" t="s">
        <v>86</v>
      </c>
      <c r="G31" s="191">
        <v>14.27</v>
      </c>
      <c r="I31" s="189" t="b">
        <f t="shared" si="0"/>
        <v>1</v>
      </c>
      <c r="J31" s="192">
        <f>COUNTIF(DIABETES_TIMELINE!ServiceCode,A31)</f>
        <v>1</v>
      </c>
    </row>
    <row r="32" spans="1:10" s="189" customFormat="1" ht="30" x14ac:dyDescent="0.25">
      <c r="A32" s="189">
        <v>31</v>
      </c>
      <c r="B32" s="190"/>
      <c r="C32" s="190">
        <v>310075190</v>
      </c>
      <c r="D32" s="189" t="s">
        <v>51</v>
      </c>
      <c r="E32" s="210" t="s">
        <v>40</v>
      </c>
      <c r="F32" s="197" t="s">
        <v>237</v>
      </c>
      <c r="G32" s="189">
        <v>176.75</v>
      </c>
      <c r="H32" s="189" t="s">
        <v>320</v>
      </c>
      <c r="I32" s="189" t="b">
        <f t="shared" si="0"/>
        <v>1</v>
      </c>
      <c r="J32" s="192">
        <f>COUNTIF(DIABETES_TIMELINE!ServiceCode,A32)</f>
        <v>0</v>
      </c>
    </row>
    <row r="33" spans="1:10" s="189" customFormat="1" x14ac:dyDescent="0.25">
      <c r="A33" s="189">
        <v>32</v>
      </c>
      <c r="B33" s="190"/>
      <c r="C33" s="190">
        <v>93104901</v>
      </c>
      <c r="D33" s="189" t="s">
        <v>51</v>
      </c>
      <c r="E33" s="210" t="s">
        <v>39</v>
      </c>
      <c r="F33" s="197" t="s">
        <v>238</v>
      </c>
      <c r="G33" s="189">
        <v>9.19</v>
      </c>
      <c r="I33" s="189" t="b">
        <f t="shared" si="0"/>
        <v>1</v>
      </c>
      <c r="J33" s="192">
        <f>COUNTIF(DIABETES_TIMELINE!ServiceCode,A33)</f>
        <v>13</v>
      </c>
    </row>
    <row r="34" spans="1:10" s="189" customFormat="1" x14ac:dyDescent="0.25">
      <c r="A34" s="189">
        <v>33</v>
      </c>
      <c r="B34" s="190"/>
      <c r="C34" s="190">
        <v>60505257909</v>
      </c>
      <c r="D34" s="189" t="s">
        <v>51</v>
      </c>
      <c r="E34" s="210" t="s">
        <v>39</v>
      </c>
      <c r="F34" s="197" t="s">
        <v>239</v>
      </c>
      <c r="G34" s="189">
        <v>25.88</v>
      </c>
      <c r="I34" s="189" t="b">
        <f t="shared" si="0"/>
        <v>1</v>
      </c>
      <c r="J34" s="192">
        <f>COUNTIF(DIABETES_TIMELINE!ServiceCode,A34)</f>
        <v>4</v>
      </c>
    </row>
  </sheetData>
  <autoFilter ref="G1:G3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BENEFIT_DESIGN!$B$8:$B$27</xm:f>
          </x14:formula1>
          <xm:sqref>E2:E34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8"/>
  <sheetViews>
    <sheetView workbookViewId="0"/>
  </sheetViews>
  <sheetFormatPr defaultColWidth="0" defaultRowHeight="15" zeroHeight="1" x14ac:dyDescent="0.25"/>
  <cols>
    <col min="1" max="1" width="2.7109375" customWidth="1"/>
    <col min="2" max="2" width="43.7109375" bestFit="1" customWidth="1"/>
    <col min="3" max="10" width="12.7109375" customWidth="1"/>
    <col min="11" max="11" width="2.7109375" customWidth="1"/>
    <col min="12" max="16384" width="9.140625" hidden="1"/>
  </cols>
  <sheetData>
    <row r="1" spans="1:1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111"/>
      <c r="B2" s="124" t="s">
        <v>230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x14ac:dyDescent="0.25">
      <c r="A4" s="111"/>
      <c r="B4" s="87" t="str">
        <f>BENEFIT_DESIGN!$B$6</f>
        <v>Plan 3</v>
      </c>
      <c r="C4" s="82" t="s">
        <v>189</v>
      </c>
      <c r="D4" s="83"/>
      <c r="E4" s="87"/>
      <c r="F4" s="82" t="s">
        <v>87</v>
      </c>
      <c r="G4" s="82"/>
      <c r="H4" s="82"/>
      <c r="I4" s="82"/>
      <c r="J4" s="83"/>
      <c r="K4" s="111"/>
    </row>
    <row r="5" spans="1:11" ht="45" x14ac:dyDescent="0.25">
      <c r="A5" s="111"/>
      <c r="B5" s="91" t="s">
        <v>9</v>
      </c>
      <c r="C5" s="92" t="s">
        <v>90</v>
      </c>
      <c r="D5" s="93" t="s">
        <v>89</v>
      </c>
      <c r="E5" s="94" t="s">
        <v>88</v>
      </c>
      <c r="F5" s="95" t="s">
        <v>12</v>
      </c>
      <c r="G5" s="99" t="s">
        <v>29</v>
      </c>
      <c r="H5" s="100" t="s">
        <v>30</v>
      </c>
      <c r="I5" s="100" t="s">
        <v>31</v>
      </c>
      <c r="J5" s="101" t="s">
        <v>28</v>
      </c>
      <c r="K5" s="111"/>
    </row>
    <row r="6" spans="1:11" x14ac:dyDescent="0.25">
      <c r="A6" s="111"/>
      <c r="B6" s="88" t="str">
        <f>BENEFIT_DESIGN!B8</f>
        <v>Inpatient Hospital Care (Facility)</v>
      </c>
      <c r="C6" s="84">
        <f>SUMIFS(MATERNITY_TIMELINE!AllowedAmt,MATERNITY_TIMELINE!BenefitCategory,$B6)</f>
        <v>8959.380000000001</v>
      </c>
      <c r="D6" s="85">
        <f t="shared" ref="D6" si="0">MROUND(C6,IF(C6&gt;=100,100,10))</f>
        <v>9000</v>
      </c>
      <c r="E6" s="90">
        <f>SUMIFS(MATERNITY_TIMELINE!PlanPaymentAmt,MATERNITY_TIMELINE!BenefitCategory,$B6)</f>
        <v>8959.380000000001</v>
      </c>
      <c r="F6" s="90">
        <f t="shared" ref="F6" si="1">SUM(G6:J6)</f>
        <v>0</v>
      </c>
      <c r="G6" s="102">
        <f>SUMIFS(MATERNITY_TIMELINE!SubscriberPayDeduc,MATERNITY_TIMELINE!BenefitCategory,$B6)</f>
        <v>0</v>
      </c>
      <c r="H6" s="103">
        <f>SUMIFS(MATERNITY_TIMELINE!SubscriberPayCopay,MATERNITY_TIMELINE!BenefitCategory,$B6)</f>
        <v>0</v>
      </c>
      <c r="I6" s="103">
        <f>SUMIFS(MATERNITY_TIMELINE!SubscriberPayCoins,MATERNITY_TIMELINE!BenefitCategory,$B6)</f>
        <v>0</v>
      </c>
      <c r="J6" s="104">
        <f>SUMIFS(MATERNITY_TIMELINE!SubscriberPayNonCov,MATERNITY_TIMELINE!BenefitCategory,$B6)+SUMIFS(MATERNITY_TIMELINE!SubscriberPayExclusion,MATERNITY_TIMELINE!BenefitCategory,$B6)</f>
        <v>0</v>
      </c>
      <c r="K6" s="111"/>
    </row>
    <row r="7" spans="1:11" x14ac:dyDescent="0.25">
      <c r="A7" s="111"/>
      <c r="B7" s="88" t="str">
        <f>BENEFIT_DESIGN!B9</f>
        <v>Other Facility Services</v>
      </c>
      <c r="C7" s="84">
        <f>SUMIFS(MATERNITY_TIMELINE!AllowedAmt,MATERNITY_TIMELINE!BenefitCategory,$B7)</f>
        <v>0</v>
      </c>
      <c r="D7" s="85">
        <f t="shared" ref="D7:D25" si="2">MROUND(C7,IF(C7&gt;=100,100,10))</f>
        <v>0</v>
      </c>
      <c r="E7" s="90">
        <f>SUMIFS(MATERNITY_TIMELINE!PlanPaymentAmt,MATERNITY_TIMELINE!BenefitCategory,$B7)</f>
        <v>0</v>
      </c>
      <c r="F7" s="90">
        <f t="shared" ref="F7:F25" si="3">SUM(G7:J7)</f>
        <v>0</v>
      </c>
      <c r="G7" s="102">
        <f>SUMIFS(MATERNITY_TIMELINE!SubscriberPayDeduc,MATERNITY_TIMELINE!BenefitCategory,$B7)</f>
        <v>0</v>
      </c>
      <c r="H7" s="103">
        <f>SUMIFS(MATERNITY_TIMELINE!SubscriberPayCopay,MATERNITY_TIMELINE!BenefitCategory,$B7)</f>
        <v>0</v>
      </c>
      <c r="I7" s="103">
        <f>SUMIFS(MATERNITY_TIMELINE!SubscriberPayCoins,MATERNITY_TIMELINE!BenefitCategory,$B7)</f>
        <v>0</v>
      </c>
      <c r="J7" s="104">
        <f>SUMIFS(MATERNITY_TIMELINE!SubscriberPayNonCov,MATERNITY_TIMELINE!BenefitCategory,$B7)+SUMIFS(MATERNITY_TIMELINE!SubscriberPayExclusion,MATERNITY_TIMELINE!BenefitCategory,$B7)</f>
        <v>0</v>
      </c>
      <c r="K7" s="111"/>
    </row>
    <row r="8" spans="1:11" x14ac:dyDescent="0.25">
      <c r="A8" s="111"/>
      <c r="B8" s="88" t="str">
        <f>BENEFIT_DESIGN!B10</f>
        <v>Emergency Department (Facility)</v>
      </c>
      <c r="C8" s="84">
        <f>SUMIFS(MATERNITY_TIMELINE!AllowedAmt,MATERNITY_TIMELINE!BenefitCategory,$B8)</f>
        <v>0</v>
      </c>
      <c r="D8" s="85">
        <f t="shared" si="2"/>
        <v>0</v>
      </c>
      <c r="E8" s="90">
        <f>SUMIFS(MATERNITY_TIMELINE!PlanPaymentAmt,MATERNITY_TIMELINE!BenefitCategory,$B8)</f>
        <v>0</v>
      </c>
      <c r="F8" s="90">
        <f t="shared" si="3"/>
        <v>0</v>
      </c>
      <c r="G8" s="102">
        <f>SUMIFS(MATERNITY_TIMELINE!SubscriberPayDeduc,MATERNITY_TIMELINE!BenefitCategory,$B8)</f>
        <v>0</v>
      </c>
      <c r="H8" s="103">
        <f>SUMIFS(MATERNITY_TIMELINE!SubscriberPayCopay,MATERNITY_TIMELINE!BenefitCategory,$B8)</f>
        <v>0</v>
      </c>
      <c r="I8" s="103">
        <f>SUMIFS(MATERNITY_TIMELINE!SubscriberPayCoins,MATERNITY_TIMELINE!BenefitCategory,$B8)</f>
        <v>0</v>
      </c>
      <c r="J8" s="104">
        <f>SUMIFS(MATERNITY_TIMELINE!SubscriberPayNonCov,MATERNITY_TIMELINE!BenefitCategory,$B8)+SUMIFS(MATERNITY_TIMELINE!SubscriberPayExclusion,MATERNITY_TIMELINE!BenefitCategory,$B8)</f>
        <v>0</v>
      </c>
      <c r="K8" s="111"/>
    </row>
    <row r="9" spans="1:11" x14ac:dyDescent="0.25">
      <c r="A9" s="111"/>
      <c r="B9" s="88" t="str">
        <f>BENEFIT_DESIGN!B11</f>
        <v>Ambulance</v>
      </c>
      <c r="C9" s="84">
        <f>SUMIFS(MATERNITY_TIMELINE!AllowedAmt,MATERNITY_TIMELINE!BenefitCategory,$B9)</f>
        <v>0</v>
      </c>
      <c r="D9" s="85">
        <f t="shared" si="2"/>
        <v>0</v>
      </c>
      <c r="E9" s="90">
        <f>SUMIFS(MATERNITY_TIMELINE!PlanPaymentAmt,MATERNITY_TIMELINE!BenefitCategory,$B9)</f>
        <v>0</v>
      </c>
      <c r="F9" s="90">
        <f t="shared" si="3"/>
        <v>0</v>
      </c>
      <c r="G9" s="102">
        <f>SUMIFS(MATERNITY_TIMELINE!SubscriberPayDeduc,MATERNITY_TIMELINE!BenefitCategory,$B9)</f>
        <v>0</v>
      </c>
      <c r="H9" s="103">
        <f>SUMIFS(MATERNITY_TIMELINE!SubscriberPayCopay,MATERNITY_TIMELINE!BenefitCategory,$B9)</f>
        <v>0</v>
      </c>
      <c r="I9" s="103">
        <f>SUMIFS(MATERNITY_TIMELINE!SubscriberPayCoins,MATERNITY_TIMELINE!BenefitCategory,$B9)</f>
        <v>0</v>
      </c>
      <c r="J9" s="104">
        <f>SUMIFS(MATERNITY_TIMELINE!SubscriberPayNonCov,MATERNITY_TIMELINE!BenefitCategory,$B9)+SUMIFS(MATERNITY_TIMELINE!SubscriberPayExclusion,MATERNITY_TIMELINE!BenefitCategory,$B9)</f>
        <v>0</v>
      </c>
      <c r="K9" s="111"/>
    </row>
    <row r="10" spans="1:11" x14ac:dyDescent="0.25">
      <c r="A10" s="111"/>
      <c r="B10" s="88" t="str">
        <f>BENEFIT_DESIGN!B12</f>
        <v>Professional Services: Primary Care</v>
      </c>
      <c r="C10" s="84">
        <f>SUMIFS(MATERNITY_TIMELINE!AllowedAmt,MATERNITY_TIMELINE!BenefitCategory,$B10)</f>
        <v>198</v>
      </c>
      <c r="D10" s="85">
        <f t="shared" si="2"/>
        <v>200</v>
      </c>
      <c r="E10" s="90">
        <f>SUMIFS(MATERNITY_TIMELINE!PlanPaymentAmt,MATERNITY_TIMELINE!BenefitCategory,$B10)</f>
        <v>138</v>
      </c>
      <c r="F10" s="90">
        <f t="shared" si="3"/>
        <v>60</v>
      </c>
      <c r="G10" s="102">
        <f>SUMIFS(MATERNITY_TIMELINE!SubscriberPayDeduc,MATERNITY_TIMELINE!BenefitCategory,$B10)</f>
        <v>0</v>
      </c>
      <c r="H10" s="103">
        <f>SUMIFS(MATERNITY_TIMELINE!SubscriberPayCopay,MATERNITY_TIMELINE!BenefitCategory,$B10)</f>
        <v>60</v>
      </c>
      <c r="I10" s="103">
        <f>SUMIFS(MATERNITY_TIMELINE!SubscriberPayCoins,MATERNITY_TIMELINE!BenefitCategory,$B10)</f>
        <v>0</v>
      </c>
      <c r="J10" s="104">
        <f>SUMIFS(MATERNITY_TIMELINE!SubscriberPayNonCov,MATERNITY_TIMELINE!BenefitCategory,$B10)+SUMIFS(MATERNITY_TIMELINE!SubscriberPayExclusion,MATERNITY_TIMELINE!BenefitCategory,$B10)</f>
        <v>0</v>
      </c>
      <c r="K10" s="111"/>
    </row>
    <row r="11" spans="1:11" x14ac:dyDescent="0.25">
      <c r="A11" s="111"/>
      <c r="B11" s="88" t="str">
        <f>BENEFIT_DESIGN!B13</f>
        <v>Professional Services: Emergency Department</v>
      </c>
      <c r="C11" s="84">
        <f>SUMIFS(MATERNITY_TIMELINE!AllowedAmt,MATERNITY_TIMELINE!BenefitCategory,$B11)</f>
        <v>0</v>
      </c>
      <c r="D11" s="85">
        <f t="shared" si="2"/>
        <v>0</v>
      </c>
      <c r="E11" s="90">
        <f>SUMIFS(MATERNITY_TIMELINE!PlanPaymentAmt,MATERNITY_TIMELINE!BenefitCategory,$B11)</f>
        <v>0</v>
      </c>
      <c r="F11" s="90">
        <f t="shared" si="3"/>
        <v>0</v>
      </c>
      <c r="G11" s="102">
        <f>SUMIFS(MATERNITY_TIMELINE!SubscriberPayDeduc,MATERNITY_TIMELINE!BenefitCategory,$B11)</f>
        <v>0</v>
      </c>
      <c r="H11" s="103">
        <f>SUMIFS(MATERNITY_TIMELINE!SubscriberPayCopay,MATERNITY_TIMELINE!BenefitCategory,$B11)</f>
        <v>0</v>
      </c>
      <c r="I11" s="103">
        <f>SUMIFS(MATERNITY_TIMELINE!SubscriberPayCoins,MATERNITY_TIMELINE!BenefitCategory,$B11)</f>
        <v>0</v>
      </c>
      <c r="J11" s="104">
        <f>SUMIFS(MATERNITY_TIMELINE!SubscriberPayNonCov,MATERNITY_TIMELINE!BenefitCategory,$B11)+SUMIFS(MATERNITY_TIMELINE!SubscriberPayExclusion,MATERNITY_TIMELINE!BenefitCategory,$B11)</f>
        <v>0</v>
      </c>
      <c r="K11" s="111"/>
    </row>
    <row r="12" spans="1:11" x14ac:dyDescent="0.25">
      <c r="A12" s="111"/>
      <c r="B12" s="88" t="str">
        <f>BENEFIT_DESIGN!B14</f>
        <v>Professional Services: Specialist</v>
      </c>
      <c r="C12" s="84">
        <f>SUMIFS(MATERNITY_TIMELINE!AllowedAmt,MATERNITY_TIMELINE!BenefitCategory,$B12)</f>
        <v>0</v>
      </c>
      <c r="D12" s="85">
        <f t="shared" si="2"/>
        <v>0</v>
      </c>
      <c r="E12" s="90">
        <f>SUMIFS(MATERNITY_TIMELINE!PlanPaymentAmt,MATERNITY_TIMELINE!BenefitCategory,$B12)</f>
        <v>0</v>
      </c>
      <c r="F12" s="90">
        <f t="shared" si="3"/>
        <v>0</v>
      </c>
      <c r="G12" s="102">
        <f>SUMIFS(MATERNITY_TIMELINE!SubscriberPayDeduc,MATERNITY_TIMELINE!BenefitCategory,$B12)</f>
        <v>0</v>
      </c>
      <c r="H12" s="103">
        <f>SUMIFS(MATERNITY_TIMELINE!SubscriberPayCopay,MATERNITY_TIMELINE!BenefitCategory,$B12)</f>
        <v>0</v>
      </c>
      <c r="I12" s="103">
        <f>SUMIFS(MATERNITY_TIMELINE!SubscriberPayCoins,MATERNITY_TIMELINE!BenefitCategory,$B12)</f>
        <v>0</v>
      </c>
      <c r="J12" s="104">
        <f>SUMIFS(MATERNITY_TIMELINE!SubscriberPayNonCov,MATERNITY_TIMELINE!BenefitCategory,$B12)+SUMIFS(MATERNITY_TIMELINE!SubscriberPayExclusion,MATERNITY_TIMELINE!BenefitCategory,$B12)</f>
        <v>0</v>
      </c>
      <c r="K12" s="111"/>
    </row>
    <row r="13" spans="1:11" x14ac:dyDescent="0.25">
      <c r="A13" s="111"/>
      <c r="B13" s="88" t="str">
        <f>BENEFIT_DESIGN!B15</f>
        <v>Professional Services: Obstetric Care (Bundled)</v>
      </c>
      <c r="C13" s="84">
        <f>SUMIFS(MATERNITY_TIMELINE!AllowedAmt,MATERNITY_TIMELINE!BenefitCategory,$B13)</f>
        <v>2394.1799999999998</v>
      </c>
      <c r="D13" s="85">
        <f t="shared" si="2"/>
        <v>2400</v>
      </c>
      <c r="E13" s="90">
        <f>SUMIFS(MATERNITY_TIMELINE!PlanPaymentAmt,MATERNITY_TIMELINE!BenefitCategory,$B13)</f>
        <v>1572.2799999999997</v>
      </c>
      <c r="F13" s="90">
        <f t="shared" si="3"/>
        <v>821.90000000000009</v>
      </c>
      <c r="G13" s="102">
        <f>SUMIFS(MATERNITY_TIMELINE!SubscriberPayDeduc,MATERNITY_TIMELINE!BenefitCategory,$B13)</f>
        <v>821.90000000000009</v>
      </c>
      <c r="H13" s="103">
        <f>SUMIFS(MATERNITY_TIMELINE!SubscriberPayCopay,MATERNITY_TIMELINE!BenefitCategory,$B13)</f>
        <v>0</v>
      </c>
      <c r="I13" s="103">
        <f>SUMIFS(MATERNITY_TIMELINE!SubscriberPayCoins,MATERNITY_TIMELINE!BenefitCategory,$B13)</f>
        <v>0</v>
      </c>
      <c r="J13" s="104">
        <f>SUMIFS(MATERNITY_TIMELINE!SubscriberPayNonCov,MATERNITY_TIMELINE!BenefitCategory,$B13)+SUMIFS(MATERNITY_TIMELINE!SubscriberPayExclusion,MATERNITY_TIMELINE!BenefitCategory,$B13)</f>
        <v>0</v>
      </c>
      <c r="K13" s="111"/>
    </row>
    <row r="14" spans="1:11" x14ac:dyDescent="0.25">
      <c r="A14" s="111"/>
      <c r="B14" s="88" t="str">
        <f>BENEFIT_DESIGN!B16</f>
        <v>Professional Services: Procedures &amp; Other</v>
      </c>
      <c r="C14" s="84">
        <f>SUMIFS(MATERNITY_TIMELINE!AllowedAmt,MATERNITY_TIMELINE!BenefitCategory,$B14)</f>
        <v>0</v>
      </c>
      <c r="D14" s="85">
        <f t="shared" si="2"/>
        <v>0</v>
      </c>
      <c r="E14" s="90">
        <f>SUMIFS(MATERNITY_TIMELINE!PlanPaymentAmt,MATERNITY_TIMELINE!BenefitCategory,$B14)</f>
        <v>0</v>
      </c>
      <c r="F14" s="90">
        <f t="shared" si="3"/>
        <v>0</v>
      </c>
      <c r="G14" s="102">
        <f>SUMIFS(MATERNITY_TIMELINE!SubscriberPayDeduc,MATERNITY_TIMELINE!BenefitCategory,$B14)</f>
        <v>0</v>
      </c>
      <c r="H14" s="103">
        <f>SUMIFS(MATERNITY_TIMELINE!SubscriberPayCopay,MATERNITY_TIMELINE!BenefitCategory,$B14)</f>
        <v>0</v>
      </c>
      <c r="I14" s="103">
        <f>SUMIFS(MATERNITY_TIMELINE!SubscriberPayCoins,MATERNITY_TIMELINE!BenefitCategory,$B14)</f>
        <v>0</v>
      </c>
      <c r="J14" s="104">
        <f>SUMIFS(MATERNITY_TIMELINE!SubscriberPayNonCov,MATERNITY_TIMELINE!BenefitCategory,$B14)+SUMIFS(MATERNITY_TIMELINE!SubscriberPayExclusion,MATERNITY_TIMELINE!BenefitCategory,$B14)</f>
        <v>0</v>
      </c>
      <c r="K14" s="111"/>
    </row>
    <row r="15" spans="1:11" x14ac:dyDescent="0.25">
      <c r="A15" s="111"/>
      <c r="B15" s="88" t="str">
        <f>BENEFIT_DESIGN!B17</f>
        <v>Professional Services: Physical Therapy</v>
      </c>
      <c r="C15" s="84">
        <f>SUMIFS(MATERNITY_TIMELINE!AllowedAmt,MATERNITY_TIMELINE!BenefitCategory,$B15)</f>
        <v>0</v>
      </c>
      <c r="D15" s="85">
        <f t="shared" si="2"/>
        <v>0</v>
      </c>
      <c r="E15" s="90">
        <f>SUMIFS(MATERNITY_TIMELINE!PlanPaymentAmt,MATERNITY_TIMELINE!BenefitCategory,$B15)</f>
        <v>0</v>
      </c>
      <c r="F15" s="90">
        <f t="shared" si="3"/>
        <v>0</v>
      </c>
      <c r="G15" s="102">
        <f>SUMIFS(MATERNITY_TIMELINE!SubscriberPayDeduc,MATERNITY_TIMELINE!BenefitCategory,$B15)</f>
        <v>0</v>
      </c>
      <c r="H15" s="103">
        <f>SUMIFS(MATERNITY_TIMELINE!SubscriberPayCopay,MATERNITY_TIMELINE!BenefitCategory,$B15)</f>
        <v>0</v>
      </c>
      <c r="I15" s="103">
        <f>SUMIFS(MATERNITY_TIMELINE!SubscriberPayCoins,MATERNITY_TIMELINE!BenefitCategory,$B15)</f>
        <v>0</v>
      </c>
      <c r="J15" s="104">
        <f>SUMIFS(MATERNITY_TIMELINE!SubscriberPayNonCov,MATERNITY_TIMELINE!BenefitCategory,$B15)+SUMIFS(MATERNITY_TIMELINE!SubscriberPayExclusion,MATERNITY_TIMELINE!BenefitCategory,$B15)</f>
        <v>0</v>
      </c>
      <c r="K15" s="111"/>
    </row>
    <row r="16" spans="1:11" x14ac:dyDescent="0.25">
      <c r="A16" s="111"/>
      <c r="B16" s="88" t="str">
        <f>BENEFIT_DESIGN!B18</f>
        <v>Diagnostic Services: Radiology</v>
      </c>
      <c r="C16" s="84">
        <f>SUMIFS(MATERNITY_TIMELINE!AllowedAmt,MATERNITY_TIMELINE!BenefitCategory,$B16)</f>
        <v>163.99</v>
      </c>
      <c r="D16" s="85">
        <f t="shared" si="2"/>
        <v>200</v>
      </c>
      <c r="E16" s="90">
        <f>SUMIFS(MATERNITY_TIMELINE!PlanPaymentAmt,MATERNITY_TIMELINE!BenefitCategory,$B16)</f>
        <v>163.99</v>
      </c>
      <c r="F16" s="90">
        <f t="shared" si="3"/>
        <v>0</v>
      </c>
      <c r="G16" s="102">
        <f>SUMIFS(MATERNITY_TIMELINE!SubscriberPayDeduc,MATERNITY_TIMELINE!BenefitCategory,$B16)</f>
        <v>0</v>
      </c>
      <c r="H16" s="103">
        <f>SUMIFS(MATERNITY_TIMELINE!SubscriberPayCopay,MATERNITY_TIMELINE!BenefitCategory,$B16)</f>
        <v>0</v>
      </c>
      <c r="I16" s="103">
        <f>SUMIFS(MATERNITY_TIMELINE!SubscriberPayCoins,MATERNITY_TIMELINE!BenefitCategory,$B16)</f>
        <v>0</v>
      </c>
      <c r="J16" s="104">
        <f>SUMIFS(MATERNITY_TIMELINE!SubscriberPayNonCov,MATERNITY_TIMELINE!BenefitCategory,$B16)+SUMIFS(MATERNITY_TIMELINE!SubscriberPayExclusion,MATERNITY_TIMELINE!BenefitCategory,$B16)</f>
        <v>0</v>
      </c>
      <c r="K16" s="111"/>
    </row>
    <row r="17" spans="1:11" x14ac:dyDescent="0.25">
      <c r="A17" s="111"/>
      <c r="B17" s="88" t="str">
        <f>BENEFIT_DESIGN!B19</f>
        <v>Diagnostic Services: Laboratory</v>
      </c>
      <c r="C17" s="84">
        <f>SUMIFS(MATERNITY_TIMELINE!AllowedAmt,MATERNITY_TIMELINE!BenefitCategory,$B17)</f>
        <v>882.13999999999987</v>
      </c>
      <c r="D17" s="85">
        <f t="shared" si="2"/>
        <v>900</v>
      </c>
      <c r="E17" s="90">
        <f>SUMIFS(MATERNITY_TIMELINE!PlanPaymentAmt,MATERNITY_TIMELINE!BenefitCategory,$B17)</f>
        <v>704.04</v>
      </c>
      <c r="F17" s="90">
        <f t="shared" si="3"/>
        <v>178.09999999999997</v>
      </c>
      <c r="G17" s="102">
        <f>SUMIFS(MATERNITY_TIMELINE!SubscriberPayDeduc,MATERNITY_TIMELINE!BenefitCategory,$B17)</f>
        <v>178.09999999999997</v>
      </c>
      <c r="H17" s="103">
        <f>SUMIFS(MATERNITY_TIMELINE!SubscriberPayCopay,MATERNITY_TIMELINE!BenefitCategory,$B17)</f>
        <v>0</v>
      </c>
      <c r="I17" s="103">
        <f>SUMIFS(MATERNITY_TIMELINE!SubscriberPayCoins,MATERNITY_TIMELINE!BenefitCategory,$B17)</f>
        <v>0</v>
      </c>
      <c r="J17" s="104">
        <f>SUMIFS(MATERNITY_TIMELINE!SubscriberPayNonCov,MATERNITY_TIMELINE!BenefitCategory,$B17)+SUMIFS(MATERNITY_TIMELINE!SubscriberPayExclusion,MATERNITY_TIMELINE!BenefitCategory,$B17)</f>
        <v>0</v>
      </c>
      <c r="K17" s="111"/>
    </row>
    <row r="18" spans="1:11" x14ac:dyDescent="0.25">
      <c r="A18" s="111"/>
      <c r="B18" s="88" t="str">
        <f>BENEFIT_DESIGN!B20</f>
        <v>Prescription Drugs: Generic</v>
      </c>
      <c r="C18" s="84">
        <f>SUMIFS(MATERNITY_TIMELINE!AllowedAmt,MATERNITY_TIMELINE!BenefitCategory,$B18)</f>
        <v>36.274999999999999</v>
      </c>
      <c r="D18" s="85">
        <f t="shared" si="2"/>
        <v>40</v>
      </c>
      <c r="E18" s="90">
        <f>SUMIFS(MATERNITY_TIMELINE!PlanPaymentAmt,MATERNITY_TIMELINE!BenefitCategory,$B18)</f>
        <v>0</v>
      </c>
      <c r="F18" s="90">
        <f t="shared" si="3"/>
        <v>43.375</v>
      </c>
      <c r="G18" s="102">
        <f>SUMIFS(MATERNITY_TIMELINE!SubscriberPayDeduc,MATERNITY_TIMELINE!BenefitCategory,$B18)</f>
        <v>3.375</v>
      </c>
      <c r="H18" s="103">
        <f>SUMIFS(MATERNITY_TIMELINE!SubscriberPayCopay,MATERNITY_TIMELINE!BenefitCategory,$B18)</f>
        <v>40</v>
      </c>
      <c r="I18" s="103">
        <f>SUMIFS(MATERNITY_TIMELINE!SubscriberPayCoins,MATERNITY_TIMELINE!BenefitCategory,$B18)</f>
        <v>0</v>
      </c>
      <c r="J18" s="104">
        <f>SUMIFS(MATERNITY_TIMELINE!SubscriberPayNonCov,MATERNITY_TIMELINE!BenefitCategory,$B18)+SUMIFS(MATERNITY_TIMELINE!SubscriberPayExclusion,MATERNITY_TIMELINE!BenefitCategory,$B18)</f>
        <v>0</v>
      </c>
      <c r="K18" s="111"/>
    </row>
    <row r="19" spans="1:11" x14ac:dyDescent="0.25">
      <c r="A19" s="111"/>
      <c r="B19" s="88" t="str">
        <f>BENEFIT_DESIGN!B21</f>
        <v>Prescription Drugs: Branded</v>
      </c>
      <c r="C19" s="84">
        <f>SUMIFS(MATERNITY_TIMELINE!AllowedAmt,MATERNITY_TIMELINE!BenefitCategory,$B19)</f>
        <v>0</v>
      </c>
      <c r="D19" s="85">
        <f t="shared" si="2"/>
        <v>0</v>
      </c>
      <c r="E19" s="90">
        <f>SUMIFS(MATERNITY_TIMELINE!PlanPaymentAmt,MATERNITY_TIMELINE!BenefitCategory,$B19)</f>
        <v>0</v>
      </c>
      <c r="F19" s="90">
        <f t="shared" si="3"/>
        <v>0</v>
      </c>
      <c r="G19" s="102">
        <f>SUMIFS(MATERNITY_TIMELINE!SubscriberPayDeduc,MATERNITY_TIMELINE!BenefitCategory,$B19)</f>
        <v>0</v>
      </c>
      <c r="H19" s="103">
        <f>SUMIFS(MATERNITY_TIMELINE!SubscriberPayCopay,MATERNITY_TIMELINE!BenefitCategory,$B19)</f>
        <v>0</v>
      </c>
      <c r="I19" s="103">
        <f>SUMIFS(MATERNITY_TIMELINE!SubscriberPayCoins,MATERNITY_TIMELINE!BenefitCategory,$B19)</f>
        <v>0</v>
      </c>
      <c r="J19" s="104">
        <f>SUMIFS(MATERNITY_TIMELINE!SubscriberPayNonCov,MATERNITY_TIMELINE!BenefitCategory,$B19)+SUMIFS(MATERNITY_TIMELINE!SubscriberPayExclusion,MATERNITY_TIMELINE!BenefitCategory,$B19)</f>
        <v>0</v>
      </c>
      <c r="K19" s="111"/>
    </row>
    <row r="20" spans="1:11" x14ac:dyDescent="0.25">
      <c r="A20" s="111"/>
      <c r="B20" s="88" t="str">
        <f>BENEFIT_DESIGN!B22</f>
        <v>Over-the-counter Drugs</v>
      </c>
      <c r="C20" s="84">
        <f>SUMIFS(MATERNITY_TIMELINE!AllowedAmt,MATERNITY_TIMELINE!BenefitCategory,$B20)</f>
        <v>60.017134523809524</v>
      </c>
      <c r="D20" s="85">
        <f t="shared" si="2"/>
        <v>60</v>
      </c>
      <c r="E20" s="90">
        <f>SUMIFS(MATERNITY_TIMELINE!PlanPaymentAmt,MATERNITY_TIMELINE!BenefitCategory,$B20)</f>
        <v>0</v>
      </c>
      <c r="F20" s="90">
        <f t="shared" si="3"/>
        <v>60.017134523809524</v>
      </c>
      <c r="G20" s="102">
        <f>SUMIFS(MATERNITY_TIMELINE!SubscriberPayDeduc,MATERNITY_TIMELINE!BenefitCategory,$B20)</f>
        <v>0</v>
      </c>
      <c r="H20" s="103">
        <f>SUMIFS(MATERNITY_TIMELINE!SubscriberPayCopay,MATERNITY_TIMELINE!BenefitCategory,$B20)</f>
        <v>0</v>
      </c>
      <c r="I20" s="103">
        <f>SUMIFS(MATERNITY_TIMELINE!SubscriberPayCoins,MATERNITY_TIMELINE!BenefitCategory,$B20)</f>
        <v>0</v>
      </c>
      <c r="J20" s="104">
        <f>SUMIFS(MATERNITY_TIMELINE!SubscriberPayNonCov,MATERNITY_TIMELINE!BenefitCategory,$B20)+SUMIFS(MATERNITY_TIMELINE!SubscriberPayExclusion,MATERNITY_TIMELINE!BenefitCategory,$B20)</f>
        <v>60.017134523809524</v>
      </c>
      <c r="K20" s="111"/>
    </row>
    <row r="21" spans="1:11" x14ac:dyDescent="0.25">
      <c r="A21" s="111"/>
      <c r="B21" s="88" t="str">
        <f>BENEFIT_DESIGN!B23</f>
        <v>Preventive Services &amp; Vaccines</v>
      </c>
      <c r="C21" s="84">
        <f>SUMIFS(MATERNITY_TIMELINE!AllowedAmt,MATERNITY_TIMELINE!BenefitCategory,$B21)</f>
        <v>37.269999999999996</v>
      </c>
      <c r="D21" s="85">
        <f t="shared" si="2"/>
        <v>40</v>
      </c>
      <c r="E21" s="90">
        <f>SUMIFS(MATERNITY_TIMELINE!PlanPaymentAmt,MATERNITY_TIMELINE!BenefitCategory,$B21)</f>
        <v>37.269999999999996</v>
      </c>
      <c r="F21" s="90">
        <f t="shared" si="3"/>
        <v>0</v>
      </c>
      <c r="G21" s="102">
        <f>SUMIFS(MATERNITY_TIMELINE!SubscriberPayDeduc,MATERNITY_TIMELINE!BenefitCategory,$B21)</f>
        <v>0</v>
      </c>
      <c r="H21" s="103">
        <f>SUMIFS(MATERNITY_TIMELINE!SubscriberPayCopay,MATERNITY_TIMELINE!BenefitCategory,$B21)</f>
        <v>0</v>
      </c>
      <c r="I21" s="103">
        <f>SUMIFS(MATERNITY_TIMELINE!SubscriberPayCoins,MATERNITY_TIMELINE!BenefitCategory,$B21)</f>
        <v>0</v>
      </c>
      <c r="J21" s="104">
        <f>SUMIFS(MATERNITY_TIMELINE!SubscriberPayNonCov,MATERNITY_TIMELINE!BenefitCategory,$B21)+SUMIFS(MATERNITY_TIMELINE!SubscriberPayExclusion,MATERNITY_TIMELINE!BenefitCategory,$B21)</f>
        <v>0</v>
      </c>
      <c r="K21" s="111"/>
    </row>
    <row r="22" spans="1:11" x14ac:dyDescent="0.25">
      <c r="A22" s="111"/>
      <c r="B22" s="88" t="str">
        <f>BENEFIT_DESIGN!B24</f>
        <v>Durable Medical Equipment</v>
      </c>
      <c r="C22" s="84">
        <f>SUMIFS(MATERNITY_TIMELINE!AllowedAmt,MATERNITY_TIMELINE!BenefitCategory,$B22)</f>
        <v>0</v>
      </c>
      <c r="D22" s="85">
        <f t="shared" si="2"/>
        <v>0</v>
      </c>
      <c r="E22" s="90">
        <f>SUMIFS(MATERNITY_TIMELINE!PlanPaymentAmt,MATERNITY_TIMELINE!BenefitCategory,$B22)</f>
        <v>0</v>
      </c>
      <c r="F22" s="90">
        <f t="shared" si="3"/>
        <v>0</v>
      </c>
      <c r="G22" s="102">
        <f>SUMIFS(MATERNITY_TIMELINE!SubscriberPayDeduc,MATERNITY_TIMELINE!BenefitCategory,$B22)</f>
        <v>0</v>
      </c>
      <c r="H22" s="103">
        <f>SUMIFS(MATERNITY_TIMELINE!SubscriberPayCopay,MATERNITY_TIMELINE!BenefitCategory,$B22)</f>
        <v>0</v>
      </c>
      <c r="I22" s="103">
        <f>SUMIFS(MATERNITY_TIMELINE!SubscriberPayCoins,MATERNITY_TIMELINE!BenefitCategory,$B22)</f>
        <v>0</v>
      </c>
      <c r="J22" s="104">
        <f>SUMIFS(MATERNITY_TIMELINE!SubscriberPayNonCov,MATERNITY_TIMELINE!BenefitCategory,$B22)+SUMIFS(MATERNITY_TIMELINE!SubscriberPayExclusion,MATERNITY_TIMELINE!BenefitCategory,$B22)</f>
        <v>0</v>
      </c>
      <c r="K22" s="111"/>
    </row>
    <row r="23" spans="1:11" x14ac:dyDescent="0.25">
      <c r="A23" s="111"/>
      <c r="B23" s="88" t="str">
        <f>BENEFIT_DESIGN!B25</f>
        <v>Medical Supplies</v>
      </c>
      <c r="C23" s="84">
        <f>SUMIFS(MATERNITY_TIMELINE!AllowedAmt,MATERNITY_TIMELINE!BenefitCategory,$B23)</f>
        <v>0</v>
      </c>
      <c r="D23" s="85">
        <f t="shared" si="2"/>
        <v>0</v>
      </c>
      <c r="E23" s="90">
        <f>SUMIFS(MATERNITY_TIMELINE!PlanPaymentAmt,MATERNITY_TIMELINE!BenefitCategory,$B23)</f>
        <v>0</v>
      </c>
      <c r="F23" s="90">
        <f t="shared" si="3"/>
        <v>0</v>
      </c>
      <c r="G23" s="102">
        <f>SUMIFS(MATERNITY_TIMELINE!SubscriberPayDeduc,MATERNITY_TIMELINE!BenefitCategory,$B23)</f>
        <v>0</v>
      </c>
      <c r="H23" s="103">
        <f>SUMIFS(MATERNITY_TIMELINE!SubscriberPayCopay,MATERNITY_TIMELINE!BenefitCategory,$B23)</f>
        <v>0</v>
      </c>
      <c r="I23" s="103">
        <f>SUMIFS(MATERNITY_TIMELINE!SubscriberPayCoins,MATERNITY_TIMELINE!BenefitCategory,$B23)</f>
        <v>0</v>
      </c>
      <c r="J23" s="104">
        <f>SUMIFS(MATERNITY_TIMELINE!SubscriberPayNonCov,MATERNITY_TIMELINE!BenefitCategory,$B23)+SUMIFS(MATERNITY_TIMELINE!SubscriberPayExclusion,MATERNITY_TIMELINE!BenefitCategory,$B23)</f>
        <v>0</v>
      </c>
      <c r="K23" s="111"/>
    </row>
    <row r="24" spans="1:11" x14ac:dyDescent="0.25">
      <c r="A24" s="111"/>
      <c r="B24" s="88" t="str">
        <f>BENEFIT_DESIGN!B26</f>
        <v>Over-the-counter Medical Supplies</v>
      </c>
      <c r="C24" s="84">
        <f>SUMIFS(MATERNITY_TIMELINE!AllowedAmt,MATERNITY_TIMELINE!BenefitCategory,$B24)</f>
        <v>0</v>
      </c>
      <c r="D24" s="85">
        <f t="shared" si="2"/>
        <v>0</v>
      </c>
      <c r="E24" s="90">
        <f>SUMIFS(MATERNITY_TIMELINE!PlanPaymentAmt,MATERNITY_TIMELINE!BenefitCategory,$B24)</f>
        <v>0</v>
      </c>
      <c r="F24" s="90">
        <f t="shared" si="3"/>
        <v>0</v>
      </c>
      <c r="G24" s="102">
        <f>SUMIFS(MATERNITY_TIMELINE!SubscriberPayDeduc,MATERNITY_TIMELINE!BenefitCategory,$B24)</f>
        <v>0</v>
      </c>
      <c r="H24" s="103">
        <f>SUMIFS(MATERNITY_TIMELINE!SubscriberPayCopay,MATERNITY_TIMELINE!BenefitCategory,$B24)</f>
        <v>0</v>
      </c>
      <c r="I24" s="103">
        <f>SUMIFS(MATERNITY_TIMELINE!SubscriberPayCoins,MATERNITY_TIMELINE!BenefitCategory,$B24)</f>
        <v>0</v>
      </c>
      <c r="J24" s="104">
        <f>SUMIFS(MATERNITY_TIMELINE!SubscriberPayNonCov,MATERNITY_TIMELINE!BenefitCategory,$B24)+SUMIFS(MATERNITY_TIMELINE!SubscriberPayExclusion,MATERNITY_TIMELINE!BenefitCategory,$B24)</f>
        <v>0</v>
      </c>
      <c r="K24" s="111"/>
    </row>
    <row r="25" spans="1:11" x14ac:dyDescent="0.25">
      <c r="A25" s="111"/>
      <c r="B25" s="88" t="str">
        <f>BENEFIT_DESIGN!B27</f>
        <v>Other Items &amp; Services</v>
      </c>
      <c r="C25" s="84">
        <f>SUMIFS(MATERNITY_TIMELINE!AllowedAmt,MATERNITY_TIMELINE!BenefitCategory,$B25)</f>
        <v>0</v>
      </c>
      <c r="D25" s="85">
        <f t="shared" si="2"/>
        <v>0</v>
      </c>
      <c r="E25" s="90">
        <f>SUMIFS(MATERNITY_TIMELINE!PlanPaymentAmt,MATERNITY_TIMELINE!BenefitCategory,$B25)</f>
        <v>0</v>
      </c>
      <c r="F25" s="90">
        <f t="shared" si="3"/>
        <v>0</v>
      </c>
      <c r="G25" s="102">
        <f>SUMIFS(MATERNITY_TIMELINE!SubscriberPayDeduc,MATERNITY_TIMELINE!BenefitCategory,$B25)</f>
        <v>0</v>
      </c>
      <c r="H25" s="103">
        <f>SUMIFS(MATERNITY_TIMELINE!SubscriberPayCopay,MATERNITY_TIMELINE!BenefitCategory,$B25)</f>
        <v>0</v>
      </c>
      <c r="I25" s="103">
        <f>SUMIFS(MATERNITY_TIMELINE!SubscriberPayCoins,MATERNITY_TIMELINE!BenefitCategory,$B25)</f>
        <v>0</v>
      </c>
      <c r="J25" s="104">
        <f>SUMIFS(MATERNITY_TIMELINE!SubscriberPayNonCov,MATERNITY_TIMELINE!BenefitCategory,$B25)+SUMIFS(MATERNITY_TIMELINE!SubscriberPayExclusion,MATERNITY_TIMELINE!BenefitCategory,$B25)</f>
        <v>0</v>
      </c>
      <c r="K25" s="111"/>
    </row>
    <row r="26" spans="1:11" x14ac:dyDescent="0.25">
      <c r="A26" s="111"/>
      <c r="B26" s="96" t="s">
        <v>91</v>
      </c>
      <c r="C26" s="97">
        <f>SUM(C6:C25)</f>
        <v>12731.252134523809</v>
      </c>
      <c r="D26" s="98"/>
      <c r="E26" s="206">
        <f>IFERROR(IF(BENEFIT_DESIGN_ERRORS!$C$34,"ERROR",SUM(E6:E25)),"ERROR")</f>
        <v>11574.96</v>
      </c>
      <c r="F26" s="206">
        <f>IFERROR(IF(BENEFIT_DESIGN_ERRORS!$C$34,"ERROR",SUM(F6:F25)),"ERROR")</f>
        <v>1163.3921345238095</v>
      </c>
      <c r="G26" s="207">
        <f>IFERROR(IF(BENEFIT_DESIGN_ERRORS!$C$34,"ERROR",SUM(G6:G25)),"ERROR")</f>
        <v>1003.375</v>
      </c>
      <c r="H26" s="208">
        <f>IFERROR(IF(BENEFIT_DESIGN_ERRORS!$C$34,"ERROR",SUM(H6:H25)),"ERROR")</f>
        <v>100</v>
      </c>
      <c r="I26" s="208">
        <f>IFERROR(IF(BENEFIT_DESIGN_ERRORS!$C$34,"ERROR",SUM(I6:I25)),"ERROR")</f>
        <v>0</v>
      </c>
      <c r="J26" s="209">
        <f>IFERROR(IF(BENEFIT_DESIGN_ERRORS!$C$34,"ERROR",SUM(J6:J25)),"ERROR")</f>
        <v>60.017134523809524</v>
      </c>
      <c r="K26" s="111"/>
    </row>
    <row r="27" spans="1:11" x14ac:dyDescent="0.25">
      <c r="A27" s="111"/>
      <c r="B27" s="89" t="s">
        <v>190</v>
      </c>
      <c r="C27" s="86"/>
      <c r="D27" s="179">
        <f>SUM(D6:D25)</f>
        <v>12840</v>
      </c>
      <c r="E27" s="177">
        <f>IFERROR(IF(BENEFIT_DESIGN_ERRORS!$C$34,"ERROR",D27-F27),"ERROR")</f>
        <v>11680</v>
      </c>
      <c r="F27" s="177">
        <f>IFERROR(IF(BENEFIT_DESIGN_ERRORS!$C$34,"ERROR",SUM(G27:J27)),"ERROR")</f>
        <v>1160</v>
      </c>
      <c r="G27" s="180">
        <f>IFERROR(IF(OR(BENEFIT_DESIGN_ERRORS!$D$34,BENEFIT_DESIGN_ERRORS!$E$34,BENEFIT_DESIGN_ERRORS!$H$34),"ERROR",MROUND(G26,10)),"ERROR")</f>
        <v>1000</v>
      </c>
      <c r="H27" s="181">
        <f>IFERROR(IF(BENEFIT_DESIGN_ERRORS!$I$34,"ERROR",MROUND(H26,10)),"ERROR")</f>
        <v>100</v>
      </c>
      <c r="I27" s="181">
        <f>IFERROR(IF(BENEFIT_DESIGN_ERRORS!$J$34,"ERROR",MROUND(I26,10)),"ERROR")</f>
        <v>0</v>
      </c>
      <c r="J27" s="178">
        <f>IFERROR(IF(OR(BENEFIT_DESIGN_ERRORS!$K$34,BENEFIT_DESIGN_ERRORS!$L$34,BENEFIT_DESIGN_ERRORS!$M$34),"ERROR",MROUND(J26,10)),"ERROR")</f>
        <v>60</v>
      </c>
      <c r="K27" s="111"/>
    </row>
    <row r="28" spans="1:11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X153"/>
  <sheetViews>
    <sheetView workbookViewId="0"/>
  </sheetViews>
  <sheetFormatPr defaultRowHeight="15" x14ac:dyDescent="0.25"/>
  <cols>
    <col min="1" max="1" width="8.7109375" style="1" customWidth="1"/>
    <col min="2" max="2" width="12.7109375" style="10" customWidth="1"/>
    <col min="3" max="3" width="9.7109375" style="10" customWidth="1"/>
    <col min="4" max="4" width="12.7109375" style="13" customWidth="1"/>
    <col min="5" max="5" width="25.7109375" style="55" customWidth="1"/>
    <col min="6" max="6" width="45.28515625" bestFit="1" customWidth="1"/>
    <col min="7" max="7" width="25.7109375" customWidth="1"/>
    <col min="8" max="10" width="12.7109375" style="105" customWidth="1"/>
    <col min="11" max="11" width="12.7109375" style="5" customWidth="1"/>
    <col min="12" max="13" width="12.7109375" customWidth="1"/>
    <col min="14" max="14" width="12.7109375" style="5" customWidth="1"/>
    <col min="15" max="16" width="12.7109375" customWidth="1"/>
    <col min="17" max="17" width="12.7109375" style="8" customWidth="1"/>
    <col min="18" max="18" width="12.7109375" style="16" customWidth="1"/>
    <col min="19" max="20" width="12.7109375" style="8" customWidth="1"/>
    <col min="21" max="21" width="12.7109375" style="5" customWidth="1"/>
    <col min="22" max="23" width="12.7109375" style="8" customWidth="1"/>
    <col min="24" max="24" width="12.7109375" style="5" customWidth="1"/>
    <col min="25" max="26" width="12.7109375" style="8" customWidth="1"/>
    <col min="27" max="27" width="12.7109375" style="5" customWidth="1"/>
    <col min="28" max="29" width="12.7109375" style="8" customWidth="1"/>
    <col min="30" max="30" width="12.7109375" style="5" customWidth="1"/>
    <col min="31" max="32" width="12.7109375" style="8" customWidth="1"/>
    <col min="33" max="33" width="12.7109375" style="5" customWidth="1"/>
    <col min="34" max="35" width="12.7109375" style="8" customWidth="1"/>
    <col min="36" max="36" width="12.7109375" style="24" customWidth="1"/>
    <col min="37" max="38" width="12.7109375" style="8" customWidth="1"/>
    <col min="39" max="39" width="12.7109375" style="183" customWidth="1"/>
    <col min="40" max="40" width="12.7109375" style="8" customWidth="1"/>
    <col min="41" max="41" width="12.7109375" style="54" customWidth="1"/>
    <col min="42" max="42" width="12.7109375" style="8" customWidth="1"/>
    <col min="43" max="48" width="12.7109375" style="106" customWidth="1"/>
    <col min="49" max="50" width="12.7109375" customWidth="1"/>
  </cols>
  <sheetData>
    <row r="1" spans="1:50" x14ac:dyDescent="0.25">
      <c r="H1" s="105" t="s">
        <v>322</v>
      </c>
      <c r="I1" s="105" t="s">
        <v>323</v>
      </c>
      <c r="K1" t="s">
        <v>324</v>
      </c>
      <c r="Q1" s="8" t="s">
        <v>325</v>
      </c>
      <c r="T1" s="8" t="s">
        <v>334</v>
      </c>
      <c r="U1" s="5" t="s">
        <v>326</v>
      </c>
      <c r="X1" s="5" t="s">
        <v>327</v>
      </c>
      <c r="AA1" s="5" t="s">
        <v>328</v>
      </c>
      <c r="AD1" s="5" t="s">
        <v>329</v>
      </c>
      <c r="AG1" s="5" t="s">
        <v>330</v>
      </c>
      <c r="AL1" s="8" t="s">
        <v>331</v>
      </c>
      <c r="AP1" s="8" t="s">
        <v>332</v>
      </c>
      <c r="AR1" s="106" t="s">
        <v>333</v>
      </c>
    </row>
    <row r="2" spans="1:50" ht="75" x14ac:dyDescent="0.25">
      <c r="A2" s="6" t="s">
        <v>10</v>
      </c>
      <c r="B2" s="11" t="s">
        <v>8</v>
      </c>
      <c r="C2" s="11" t="s">
        <v>23</v>
      </c>
      <c r="D2" s="14" t="s">
        <v>21</v>
      </c>
      <c r="E2" s="56" t="s">
        <v>184</v>
      </c>
      <c r="F2" s="7" t="s">
        <v>7</v>
      </c>
      <c r="G2" s="7" t="s">
        <v>17</v>
      </c>
      <c r="H2" s="107" t="s">
        <v>6</v>
      </c>
      <c r="I2" s="107" t="s">
        <v>14</v>
      </c>
      <c r="J2" s="107" t="s">
        <v>13</v>
      </c>
      <c r="K2" s="12" t="s">
        <v>25</v>
      </c>
      <c r="L2" s="7" t="s">
        <v>24</v>
      </c>
      <c r="M2" s="7" t="s">
        <v>335</v>
      </c>
      <c r="N2" s="12" t="s">
        <v>26</v>
      </c>
      <c r="O2" s="7" t="s">
        <v>22</v>
      </c>
      <c r="P2" s="7" t="s">
        <v>336</v>
      </c>
      <c r="Q2" s="185" t="s">
        <v>46</v>
      </c>
      <c r="R2" s="17" t="s">
        <v>27</v>
      </c>
      <c r="S2" s="185" t="s">
        <v>290</v>
      </c>
      <c r="T2" s="185" t="s">
        <v>291</v>
      </c>
      <c r="U2" s="12" t="s">
        <v>194</v>
      </c>
      <c r="V2" s="185" t="s">
        <v>263</v>
      </c>
      <c r="W2" s="185" t="s">
        <v>264</v>
      </c>
      <c r="X2" s="12" t="s">
        <v>195</v>
      </c>
      <c r="Y2" s="185" t="s">
        <v>267</v>
      </c>
      <c r="Z2" s="185" t="s">
        <v>265</v>
      </c>
      <c r="AA2" s="12" t="s">
        <v>294</v>
      </c>
      <c r="AB2" s="185" t="s">
        <v>295</v>
      </c>
      <c r="AC2" s="185" t="s">
        <v>296</v>
      </c>
      <c r="AD2" s="12" t="s">
        <v>297</v>
      </c>
      <c r="AE2" s="185" t="s">
        <v>298</v>
      </c>
      <c r="AF2" s="185" t="s">
        <v>299</v>
      </c>
      <c r="AG2" s="12" t="s">
        <v>269</v>
      </c>
      <c r="AH2" s="185" t="s">
        <v>268</v>
      </c>
      <c r="AI2" s="185" t="s">
        <v>266</v>
      </c>
      <c r="AJ2" s="182" t="s">
        <v>300</v>
      </c>
      <c r="AK2" s="185" t="s">
        <v>185</v>
      </c>
      <c r="AL2" s="185" t="s">
        <v>302</v>
      </c>
      <c r="AM2" s="184" t="s">
        <v>303</v>
      </c>
      <c r="AN2" s="185" t="s">
        <v>304</v>
      </c>
      <c r="AO2" s="185" t="s">
        <v>305</v>
      </c>
      <c r="AP2" s="185" t="s">
        <v>301</v>
      </c>
      <c r="AQ2" s="108" t="s">
        <v>321</v>
      </c>
      <c r="AR2" s="108" t="s">
        <v>14</v>
      </c>
      <c r="AS2" s="108" t="s">
        <v>306</v>
      </c>
      <c r="AT2" s="108" t="s">
        <v>30</v>
      </c>
      <c r="AU2" s="108" t="s">
        <v>31</v>
      </c>
      <c r="AV2" s="108" t="s">
        <v>29</v>
      </c>
      <c r="AW2" s="7" t="s">
        <v>32</v>
      </c>
      <c r="AX2" s="7" t="s">
        <v>307</v>
      </c>
    </row>
    <row r="3" spans="1:50" x14ac:dyDescent="0.25">
      <c r="A3" s="1">
        <v>1</v>
      </c>
      <c r="B3" s="10">
        <v>40550</v>
      </c>
      <c r="C3" s="5">
        <v>1</v>
      </c>
      <c r="D3" s="13">
        <v>8</v>
      </c>
      <c r="E3" s="57" t="str">
        <f t="shared" ref="E3:E34" si="0">VLOOKUP(ServiceCode,MaternityFeeSchedule,6,FALSE)</f>
        <v>Prenatal Vitamins (OTC - Bottle of 100) [1 pill daily; 30 pills/month]</v>
      </c>
      <c r="F3" t="str">
        <f t="shared" ref="F3:F34" si="1">VLOOKUP(ServiceCode,MaternityFeeSchedule,5,FALSE)</f>
        <v>Over-the-counter Drugs</v>
      </c>
      <c r="G3" t="str">
        <f t="shared" ref="G3:G34" si="2">VLOOKUP(BenefitCategory,BenefitDesignTable,COLUMN(BenefitCostSharing),FALSE)</f>
        <v>Not Covered</v>
      </c>
      <c r="H3" s="109">
        <f t="shared" ref="H3:H34" si="3">VLOOKUP(ServiceCode,MaternityFeeSchedule,7,FALSE)</f>
        <v>12.205466666666666</v>
      </c>
      <c r="I3" s="109">
        <f t="shared" ref="I3:I34" si="4">IF(CostSharingType="Not Covered",AllowedAmt,0)</f>
        <v>12.205466666666666</v>
      </c>
      <c r="J3" s="109">
        <f t="shared" ref="J3:J34" si="5">IF((NotCoveredAmt+AmtExceedMonthLimit+AmtExceedAnnualLimit)&gt;0,0,AllowedAmt)</f>
        <v>0</v>
      </c>
      <c r="K3" s="5" t="str">
        <f t="shared" ref="K3:K34" si="6">VLOOKUP(BenefitCategory,BenefitDesignTable,COLUMN(BenefitLimithMonth),FALSE)</f>
        <v>None</v>
      </c>
      <c r="L3">
        <f t="shared" ref="L3:L34" si="7">COUNTIFS(ServiceCode,ServiceCode,ClaimMonth,ClaimMonth,ClaimNumber,"&lt;"&amp;ClaimNumber)</f>
        <v>0</v>
      </c>
      <c r="M3" s="3">
        <f t="shared" ref="M3:M34" si="8">IF(MonthLimit=0,0,IF(PriorUseMonth&gt;=MonthLimit,AllowedAmt,0))</f>
        <v>0</v>
      </c>
      <c r="N3" s="5" t="str">
        <f t="shared" ref="N3:N34" si="9">VLOOKUP(BenefitCategory,BenefitDesignTable,COLUMN(BenefitLimitAnnual),FALSE)</f>
        <v>None</v>
      </c>
      <c r="O3">
        <f t="shared" ref="O3:O34" si="10">COUNTIFS(ServiceCode,ServiceCode,ClaimNumber,"&lt;"&amp;ClaimNumber)</f>
        <v>0</v>
      </c>
      <c r="P3" s="3">
        <f t="shared" ref="P3:P34" si="11">IF(AnnualLimit=0,0,IF(PriorUseAnnual&gt;=AnnualLimit,AllowedAmt,0))</f>
        <v>0</v>
      </c>
      <c r="Q3" s="8">
        <f t="shared" ref="Q3:Q56" si="12">IF(AmtExceedMonthLimit=0,IF(AmtExceedAnnualLimit=0,VLOOKUP(BenefitCategory,BenefitDesignTable,COLUMN(BenefitCopay),FALSE),0))</f>
        <v>0</v>
      </c>
      <c r="R3" s="16">
        <f t="shared" ref="R3:R56" si="13">VLOOKUP(BenefitCategory,BenefitDesignTable,COLUMN(BenefitCoins),FALSE)</f>
        <v>0</v>
      </c>
      <c r="S3" s="8">
        <f t="shared" ref="S3:S56" si="14">IF(AmtExceedMonthLimit=0,IF(AmtExceedAnnualLimit=0,CoInsRate*CoveredAmt,0))</f>
        <v>0</v>
      </c>
      <c r="T3" s="8">
        <f t="shared" ref="T3:T34" si="15">IF((CoveredAmt-CoPayAmount-CoInsAmount)&lt;0,0,CoveredAmt-CoPayAmount-CoInsAmount)</f>
        <v>0</v>
      </c>
      <c r="U3" s="5" t="b">
        <f t="shared" ref="U3:U56" si="16">VLOOKUP(BenefitCategory,BenefitDesignTable,COLUMN(PlanDeductible),FALSE)&gt;0</f>
        <v>0</v>
      </c>
      <c r="V3" s="8">
        <f t="shared" ref="V3:V34" si="17">MAX(0,VLOOKUP(BenefitCategory,BenefitDesignTable,COLUMN(PlanDeductible),FALSE)-SUMIFS(AllowedAmtAfterCopayCoins,PlanDeductibleApplies,TRUE,ClaimNumber,"&lt;"&amp;ClaimNumber))</f>
        <v>0</v>
      </c>
      <c r="W3" s="8">
        <f t="shared" ref="W3:W34" si="18">IF(AllowedAmtAfterCopayCoins&lt;RemainingPlanDeduc,AllowedAmtAfterCopayCoins,RemainingPlanDeduc)</f>
        <v>0</v>
      </c>
      <c r="X3" s="5" t="b">
        <f t="shared" ref="X3:X56" si="19">VLOOKUP(BenefitCategory,BenefitDesignTable,COLUMN(RxDeductible),FALSE)&gt;0</f>
        <v>0</v>
      </c>
      <c r="Y3" s="8">
        <f t="shared" ref="Y3:Y34" si="20">MAX(0,VLOOKUP(BenefitCategory,BenefitDesignTable,COLUMN(RxDeductible),FALSE)-SUMIFS(AllowedAmtAfterCopayCoins,RxDeductibleApplies,TRUE,ClaimNumber,"&lt;"&amp;ClaimNumber))</f>
        <v>0</v>
      </c>
      <c r="Z3" s="8">
        <f t="shared" ref="Z3:Z34" si="21">IF(AllowedAmtAfterCopayCoins&lt;RemainingRxDeduc,AllowedAmtAfterCopayCoins,RemainingRxDeduc)</f>
        <v>0</v>
      </c>
      <c r="AA3" s="5" t="b">
        <f t="shared" ref="AA3:AA56" si="22">VLOOKUP(BenefitCategory,BenefitDesignTable,COLUMN(OptDeductibleC),FALSE)&gt;0</f>
        <v>0</v>
      </c>
      <c r="AB3" s="8">
        <f t="shared" ref="AB3:AB34" si="23">MAX(0,VLOOKUP(BenefitCategory,BenefitDesignTable,COLUMN(OptDeductibleC),FALSE)-SUMIFS(AllowedAmtAfterCopayCoins,DeductibleCApplies,TRUE,ClaimNumber,"&lt;"&amp;ClaimNumber))</f>
        <v>0</v>
      </c>
      <c r="AC3" s="8">
        <f t="shared" ref="AC3:AC34" si="24">IF(AllowedAmtAfterCopayCoins&lt;RemainingDeductibleC,AllowedAmtAfterCopayCoins,RemainingDeductibleC)</f>
        <v>0</v>
      </c>
      <c r="AD3" s="5" t="b">
        <f t="shared" ref="AD3:AD34" si="25">VLOOKUP(BenefitCategory,BenefitDesignTable,COLUMN(OptDeductibleD),FALSE)&gt;0</f>
        <v>0</v>
      </c>
      <c r="AE3" s="8">
        <f t="shared" ref="AE3:AE34" si="26">MAX(0,VLOOKUP(BenefitCategory,BenefitDesignTable,COLUMN(OptDeductibleD),FALSE)-SUMIFS(AllowedAmtAfterCopayCoins,DeductibleDApplies,TRUE,ClaimNumber,"&lt;"&amp;ClaimNumber))</f>
        <v>0</v>
      </c>
      <c r="AF3" s="8">
        <f t="shared" ref="AF3:AF34" si="27">IF(AllowedAmtAfterCopayCoins&lt;RemainingDeductibleD,AllowedAmtAfterCopayCoins,RemainingDeductibleD)</f>
        <v>0</v>
      </c>
      <c r="AG3" s="5" t="b">
        <f t="shared" ref="AG3:AG56" si="28">VLOOKUP(BenefitCategory,BenefitDesignTable,COLUMN(BenefitDeductible),FALSE)&gt;0</f>
        <v>0</v>
      </c>
      <c r="AH3" s="8">
        <f t="shared" ref="AH3:AH34" si="29">MAX(0,VLOOKUP(BenefitCategory,BenefitDesignTable,COLUMN(BenefitDeductible),FALSE)-SUMIFS(AllowedAmtAfterCopayCoins,BenefitCategory,BenefitCategory,ClaimNumber,"&lt;"&amp;ClaimNumber))</f>
        <v>0</v>
      </c>
      <c r="AI3" s="8">
        <f t="shared" ref="AI3:AI34" si="30">IF(AllowedAmtAfterCopayCoins&lt;RemainingBenefitDeduc,AllowedAmtAfterCopayCoins,RemainingBenefitDeduc)</f>
        <v>0</v>
      </c>
      <c r="AJ3" s="24">
        <f t="shared" ref="AJ3:AJ34" si="31">PlanDeductiblePayment+RxDeductiblePayment+DeductibleCPayment+DeductibleDPayment+BenefitDeductiblePayment</f>
        <v>0</v>
      </c>
      <c r="AK3" s="8">
        <f t="shared" ref="AK3:AK56" si="32">MAX(0,CoveredAmt-PaymentTowardDeductibles)</f>
        <v>0</v>
      </c>
      <c r="AL3" s="8">
        <f t="shared" ref="AL3:AL56" si="33">PaymentTowardDeductibles+CoPayAmount+CoInsAmount</f>
        <v>0</v>
      </c>
      <c r="AM3" s="183" t="b">
        <f t="shared" ref="AM3:AM56" si="34">VLOOKUP(BenefitCategory,BenefitDesignTable,COLUMN(BenefitOOPLimitApplies),FALSE)="Yes"</f>
        <v>0</v>
      </c>
      <c r="AN3" s="8">
        <f t="shared" ref="AN3:AN56" si="35">IF(OPLApplies,SubscriberPaymentBeforeOPL,0)</f>
        <v>0</v>
      </c>
      <c r="AO3" s="54">
        <f t="shared" ref="AO3:AO56" si="36">MAX(0,VLOOKUP(BenefitCategory,BenefitDesignTable,COLUMN(OPLimit),FALSE)-SUMIFS(AmountSubjectToOPL,OPLApplies,TRUE,ClaimNumber,"&lt;"&amp;ClaimNumber))</f>
        <v>0</v>
      </c>
      <c r="AP3" s="8">
        <f t="shared" ref="AP3:AP56" si="37">IF(OPLApplies,IF(SubscriberPaymentBeforeOPL&lt;AmountSubjectToOPL,SubscriberPaymentBeforeOPL,AmountSubjectToOPL),SubscriberPaymentBeforeOPL)</f>
        <v>0</v>
      </c>
      <c r="AQ3" s="106">
        <f>IF((CoveredAmt-SubscriberPaymentAfterOPL)&lt;0,0,CoveredAmt-SubscriberPaymentAfterOPL)</f>
        <v>0</v>
      </c>
      <c r="AR3" s="106">
        <f t="shared" ref="AR3:AR34" si="38">NotCoveredAmt</f>
        <v>12.205466666666666</v>
      </c>
      <c r="AS3" s="106">
        <f t="shared" ref="AS3:AS34" si="39">AmtExceedMonthLimit+AmtExceedAnnualLimit</f>
        <v>0</v>
      </c>
      <c r="AT3" s="106">
        <f t="shared" ref="AT3:AT34" si="40">IF(CoPayAmount&lt;SubscriberPaymentAfterOPL,CoPayAmount,SubscriberPaymentAfterOPL)</f>
        <v>0</v>
      </c>
      <c r="AU3" s="106">
        <f t="shared" ref="AU3:AU34" si="41">IF(CoInsAmount&lt;SubscriberPaymentAfterOPL,CoInsAmount,SubscriberPaymentAfterOPL)</f>
        <v>0</v>
      </c>
      <c r="AV3" s="106">
        <f t="shared" ref="AV3:AV34" si="42">IF(PaymentTowardDeductibles&lt;(SubscriberPaymentAfterOPL-CoPayAmount-CoInsAmount),(SubscriberPaymentAfterOPL-CoPayAmount-CoInsAmount),PaymentTowardDeductibles)</f>
        <v>0</v>
      </c>
      <c r="AW3" t="b">
        <f t="shared" ref="AW3:AW34" si="43">SUM(AS3:AV3)=AP3</f>
        <v>1</v>
      </c>
      <c r="AX3" t="b">
        <f t="shared" ref="AX3:AX34" si="44">SUM(AQ3:AV3)=H3</f>
        <v>1</v>
      </c>
    </row>
    <row r="4" spans="1:50" x14ac:dyDescent="0.25">
      <c r="A4" s="1">
        <v>2</v>
      </c>
      <c r="B4" s="10">
        <v>40634</v>
      </c>
      <c r="C4" s="5">
        <v>4</v>
      </c>
      <c r="D4" s="13">
        <v>14</v>
      </c>
      <c r="E4" s="57" t="str">
        <f t="shared" si="0"/>
        <v>Obstetric Panel</v>
      </c>
      <c r="F4" t="str">
        <f t="shared" si="1"/>
        <v>Diagnostic Services: Laboratory</v>
      </c>
      <c r="G4" t="str">
        <f t="shared" si="2"/>
        <v>Plan Deductible Only</v>
      </c>
      <c r="H4" s="109">
        <f t="shared" si="3"/>
        <v>42.75</v>
      </c>
      <c r="I4" s="109">
        <f t="shared" si="4"/>
        <v>0</v>
      </c>
      <c r="J4" s="109">
        <f t="shared" si="5"/>
        <v>42.75</v>
      </c>
      <c r="K4" s="5" t="str">
        <f t="shared" si="6"/>
        <v>None</v>
      </c>
      <c r="L4">
        <f t="shared" si="7"/>
        <v>0</v>
      </c>
      <c r="M4" s="3">
        <f t="shared" si="8"/>
        <v>0</v>
      </c>
      <c r="N4" s="5" t="str">
        <f t="shared" si="9"/>
        <v>None</v>
      </c>
      <c r="O4">
        <f t="shared" si="10"/>
        <v>0</v>
      </c>
      <c r="P4" s="3">
        <f t="shared" si="11"/>
        <v>0</v>
      </c>
      <c r="Q4" s="8">
        <f t="shared" si="12"/>
        <v>0</v>
      </c>
      <c r="R4" s="16">
        <f t="shared" si="13"/>
        <v>0</v>
      </c>
      <c r="S4" s="8">
        <f t="shared" si="14"/>
        <v>0</v>
      </c>
      <c r="T4" s="8">
        <f t="shared" si="15"/>
        <v>42.75</v>
      </c>
      <c r="U4" s="5" t="b">
        <f t="shared" si="16"/>
        <v>1</v>
      </c>
      <c r="V4" s="8">
        <f t="shared" si="17"/>
        <v>1000</v>
      </c>
      <c r="W4" s="8">
        <f t="shared" si="18"/>
        <v>42.75</v>
      </c>
      <c r="X4" s="5" t="b">
        <f t="shared" si="19"/>
        <v>0</v>
      </c>
      <c r="Y4" s="8">
        <f t="shared" si="20"/>
        <v>0</v>
      </c>
      <c r="Z4" s="8">
        <f t="shared" si="21"/>
        <v>0</v>
      </c>
      <c r="AA4" s="5" t="b">
        <f t="shared" si="22"/>
        <v>0</v>
      </c>
      <c r="AB4" s="8">
        <f t="shared" si="23"/>
        <v>0</v>
      </c>
      <c r="AC4" s="8">
        <f t="shared" si="24"/>
        <v>0</v>
      </c>
      <c r="AD4" s="5" t="b">
        <f t="shared" si="25"/>
        <v>0</v>
      </c>
      <c r="AE4" s="8">
        <f t="shared" si="26"/>
        <v>0</v>
      </c>
      <c r="AF4" s="8">
        <f t="shared" si="27"/>
        <v>0</v>
      </c>
      <c r="AG4" s="5" t="b">
        <f t="shared" si="28"/>
        <v>0</v>
      </c>
      <c r="AH4" s="8">
        <f t="shared" si="29"/>
        <v>0</v>
      </c>
      <c r="AI4" s="8">
        <f t="shared" si="30"/>
        <v>0</v>
      </c>
      <c r="AJ4" s="24">
        <f t="shared" si="31"/>
        <v>42.75</v>
      </c>
      <c r="AK4" s="8">
        <f t="shared" si="32"/>
        <v>0</v>
      </c>
      <c r="AL4" s="8">
        <f t="shared" si="33"/>
        <v>42.75</v>
      </c>
      <c r="AM4" s="183" t="b">
        <f t="shared" si="34"/>
        <v>1</v>
      </c>
      <c r="AN4" s="8">
        <f t="shared" si="35"/>
        <v>42.75</v>
      </c>
      <c r="AO4" s="54">
        <f t="shared" si="36"/>
        <v>5000</v>
      </c>
      <c r="AP4" s="8">
        <f t="shared" si="37"/>
        <v>42.75</v>
      </c>
      <c r="AQ4" s="8">
        <f t="shared" ref="AQ4:AQ35" si="45">IF(CoveredAmt&lt;SubscriberPaymentAfterOPL,0,CoveredAmt-SubscriberPaymentAfterOPL)</f>
        <v>0</v>
      </c>
      <c r="AR4" s="106">
        <f t="shared" si="38"/>
        <v>0</v>
      </c>
      <c r="AS4" s="106">
        <f t="shared" si="39"/>
        <v>0</v>
      </c>
      <c r="AT4" s="106">
        <f t="shared" si="40"/>
        <v>0</v>
      </c>
      <c r="AU4" s="106">
        <f t="shared" si="41"/>
        <v>0</v>
      </c>
      <c r="AV4" s="106">
        <f t="shared" si="42"/>
        <v>42.75</v>
      </c>
      <c r="AW4" t="b">
        <f t="shared" si="43"/>
        <v>1</v>
      </c>
      <c r="AX4" t="b">
        <f t="shared" si="44"/>
        <v>1</v>
      </c>
    </row>
    <row r="5" spans="1:50" x14ac:dyDescent="0.25">
      <c r="A5" s="1">
        <v>3</v>
      </c>
      <c r="B5" s="10">
        <v>40634</v>
      </c>
      <c r="C5" s="5">
        <v>4</v>
      </c>
      <c r="D5" s="13">
        <v>30</v>
      </c>
      <c r="E5" s="57" t="str">
        <f t="shared" si="0"/>
        <v xml:space="preserve">Detect agnt mult dna ampli </v>
      </c>
      <c r="F5" t="str">
        <f t="shared" si="1"/>
        <v>Diagnostic Services: Laboratory</v>
      </c>
      <c r="G5" t="str">
        <f t="shared" si="2"/>
        <v>Plan Deductible Only</v>
      </c>
      <c r="H5" s="109">
        <f t="shared" si="3"/>
        <v>94</v>
      </c>
      <c r="I5" s="109">
        <f t="shared" si="4"/>
        <v>0</v>
      </c>
      <c r="J5" s="109">
        <f t="shared" si="5"/>
        <v>94</v>
      </c>
      <c r="K5" s="5" t="str">
        <f t="shared" si="6"/>
        <v>None</v>
      </c>
      <c r="L5">
        <f t="shared" si="7"/>
        <v>0</v>
      </c>
      <c r="M5" s="3">
        <f t="shared" si="8"/>
        <v>0</v>
      </c>
      <c r="N5" s="5" t="str">
        <f t="shared" si="9"/>
        <v>None</v>
      </c>
      <c r="O5">
        <f t="shared" si="10"/>
        <v>0</v>
      </c>
      <c r="P5" s="3">
        <f t="shared" si="11"/>
        <v>0</v>
      </c>
      <c r="Q5" s="8">
        <f t="shared" si="12"/>
        <v>0</v>
      </c>
      <c r="R5" s="16">
        <f t="shared" si="13"/>
        <v>0</v>
      </c>
      <c r="S5" s="8">
        <f t="shared" si="14"/>
        <v>0</v>
      </c>
      <c r="T5" s="8">
        <f t="shared" si="15"/>
        <v>94</v>
      </c>
      <c r="U5" s="5" t="b">
        <f t="shared" si="16"/>
        <v>1</v>
      </c>
      <c r="V5" s="8">
        <f t="shared" si="17"/>
        <v>957.25</v>
      </c>
      <c r="W5" s="8">
        <f t="shared" si="18"/>
        <v>94</v>
      </c>
      <c r="X5" s="5" t="b">
        <f t="shared" si="19"/>
        <v>0</v>
      </c>
      <c r="Y5" s="8">
        <f t="shared" si="20"/>
        <v>0</v>
      </c>
      <c r="Z5" s="8">
        <f t="shared" si="21"/>
        <v>0</v>
      </c>
      <c r="AA5" s="5" t="b">
        <f t="shared" si="22"/>
        <v>0</v>
      </c>
      <c r="AB5" s="8">
        <f t="shared" si="23"/>
        <v>0</v>
      </c>
      <c r="AC5" s="8">
        <f t="shared" si="24"/>
        <v>0</v>
      </c>
      <c r="AD5" s="5" t="b">
        <f t="shared" si="25"/>
        <v>0</v>
      </c>
      <c r="AE5" s="8">
        <f t="shared" si="26"/>
        <v>0</v>
      </c>
      <c r="AF5" s="8">
        <f t="shared" si="27"/>
        <v>0</v>
      </c>
      <c r="AG5" s="5" t="b">
        <f t="shared" si="28"/>
        <v>0</v>
      </c>
      <c r="AH5" s="8">
        <f t="shared" si="29"/>
        <v>0</v>
      </c>
      <c r="AI5" s="8">
        <f t="shared" si="30"/>
        <v>0</v>
      </c>
      <c r="AJ5" s="24">
        <f t="shared" si="31"/>
        <v>94</v>
      </c>
      <c r="AK5" s="8">
        <f t="shared" si="32"/>
        <v>0</v>
      </c>
      <c r="AL5" s="8">
        <f t="shared" si="33"/>
        <v>94</v>
      </c>
      <c r="AM5" s="183" t="b">
        <f t="shared" si="34"/>
        <v>1</v>
      </c>
      <c r="AN5" s="8">
        <f t="shared" si="35"/>
        <v>94</v>
      </c>
      <c r="AO5" s="54">
        <f t="shared" si="36"/>
        <v>4957.25</v>
      </c>
      <c r="AP5" s="8">
        <f t="shared" si="37"/>
        <v>94</v>
      </c>
      <c r="AQ5" s="8">
        <f t="shared" si="45"/>
        <v>0</v>
      </c>
      <c r="AR5" s="106">
        <f t="shared" si="38"/>
        <v>0</v>
      </c>
      <c r="AS5" s="106">
        <f t="shared" si="39"/>
        <v>0</v>
      </c>
      <c r="AT5" s="106">
        <f t="shared" si="40"/>
        <v>0</v>
      </c>
      <c r="AU5" s="106">
        <f t="shared" si="41"/>
        <v>0</v>
      </c>
      <c r="AV5" s="106">
        <f t="shared" si="42"/>
        <v>94</v>
      </c>
      <c r="AW5" t="b">
        <f t="shared" si="43"/>
        <v>1</v>
      </c>
      <c r="AX5" t="b">
        <f t="shared" si="44"/>
        <v>1</v>
      </c>
    </row>
    <row r="6" spans="1:50" x14ac:dyDescent="0.25">
      <c r="A6" s="1">
        <v>4</v>
      </c>
      <c r="B6" s="10">
        <v>40634</v>
      </c>
      <c r="C6" s="5">
        <v>4</v>
      </c>
      <c r="D6" s="13">
        <v>31</v>
      </c>
      <c r="E6" s="57" t="str">
        <f t="shared" si="0"/>
        <v>Cytopath TBS C/V Manual</v>
      </c>
      <c r="F6" t="str">
        <f t="shared" si="1"/>
        <v>Diagnostic Services: Laboratory</v>
      </c>
      <c r="G6" t="str">
        <f t="shared" si="2"/>
        <v>Plan Deductible Only</v>
      </c>
      <c r="H6" s="109">
        <f t="shared" si="3"/>
        <v>12.64</v>
      </c>
      <c r="I6" s="109">
        <f t="shared" si="4"/>
        <v>0</v>
      </c>
      <c r="J6" s="109">
        <f t="shared" si="5"/>
        <v>12.64</v>
      </c>
      <c r="K6" s="5" t="str">
        <f t="shared" si="6"/>
        <v>None</v>
      </c>
      <c r="L6">
        <f t="shared" si="7"/>
        <v>0</v>
      </c>
      <c r="M6" s="3">
        <f t="shared" si="8"/>
        <v>0</v>
      </c>
      <c r="N6" s="5" t="str">
        <f t="shared" si="9"/>
        <v>None</v>
      </c>
      <c r="O6">
        <f t="shared" si="10"/>
        <v>0</v>
      </c>
      <c r="P6" s="3">
        <f t="shared" si="11"/>
        <v>0</v>
      </c>
      <c r="Q6" s="8">
        <f t="shared" si="12"/>
        <v>0</v>
      </c>
      <c r="R6" s="16">
        <f t="shared" si="13"/>
        <v>0</v>
      </c>
      <c r="S6" s="8">
        <f t="shared" si="14"/>
        <v>0</v>
      </c>
      <c r="T6" s="8">
        <f t="shared" si="15"/>
        <v>12.64</v>
      </c>
      <c r="U6" s="5" t="b">
        <f t="shared" si="16"/>
        <v>1</v>
      </c>
      <c r="V6" s="8">
        <f t="shared" si="17"/>
        <v>863.25</v>
      </c>
      <c r="W6" s="8">
        <f t="shared" si="18"/>
        <v>12.64</v>
      </c>
      <c r="X6" s="5" t="b">
        <f t="shared" si="19"/>
        <v>0</v>
      </c>
      <c r="Y6" s="8">
        <f t="shared" si="20"/>
        <v>0</v>
      </c>
      <c r="Z6" s="8">
        <f t="shared" si="21"/>
        <v>0</v>
      </c>
      <c r="AA6" s="5" t="b">
        <f t="shared" si="22"/>
        <v>0</v>
      </c>
      <c r="AB6" s="8">
        <f t="shared" si="23"/>
        <v>0</v>
      </c>
      <c r="AC6" s="8">
        <f t="shared" si="24"/>
        <v>0</v>
      </c>
      <c r="AD6" s="5" t="b">
        <f t="shared" si="25"/>
        <v>0</v>
      </c>
      <c r="AE6" s="8">
        <f t="shared" si="26"/>
        <v>0</v>
      </c>
      <c r="AF6" s="8">
        <f t="shared" si="27"/>
        <v>0</v>
      </c>
      <c r="AG6" s="5" t="b">
        <f t="shared" si="28"/>
        <v>0</v>
      </c>
      <c r="AH6" s="8">
        <f t="shared" si="29"/>
        <v>0</v>
      </c>
      <c r="AI6" s="8">
        <f t="shared" si="30"/>
        <v>0</v>
      </c>
      <c r="AJ6" s="24">
        <f t="shared" si="31"/>
        <v>12.64</v>
      </c>
      <c r="AK6" s="8">
        <f t="shared" si="32"/>
        <v>0</v>
      </c>
      <c r="AL6" s="8">
        <f t="shared" si="33"/>
        <v>12.64</v>
      </c>
      <c r="AM6" s="183" t="b">
        <f t="shared" si="34"/>
        <v>1</v>
      </c>
      <c r="AN6" s="8">
        <f t="shared" si="35"/>
        <v>12.64</v>
      </c>
      <c r="AO6" s="54">
        <f t="shared" si="36"/>
        <v>4863.25</v>
      </c>
      <c r="AP6" s="8">
        <f t="shared" si="37"/>
        <v>12.64</v>
      </c>
      <c r="AQ6" s="8">
        <f t="shared" si="45"/>
        <v>0</v>
      </c>
      <c r="AR6" s="106">
        <f t="shared" si="38"/>
        <v>0</v>
      </c>
      <c r="AS6" s="106">
        <f t="shared" si="39"/>
        <v>0</v>
      </c>
      <c r="AT6" s="106">
        <f t="shared" si="40"/>
        <v>0</v>
      </c>
      <c r="AU6" s="106">
        <f t="shared" si="41"/>
        <v>0</v>
      </c>
      <c r="AV6" s="106">
        <f t="shared" si="42"/>
        <v>12.64</v>
      </c>
      <c r="AW6" t="b">
        <f t="shared" si="43"/>
        <v>1</v>
      </c>
      <c r="AX6" t="b">
        <f t="shared" si="44"/>
        <v>1</v>
      </c>
    </row>
    <row r="7" spans="1:50" x14ac:dyDescent="0.25">
      <c r="A7" s="1">
        <v>5</v>
      </c>
      <c r="B7" s="10">
        <v>40634</v>
      </c>
      <c r="C7" s="5">
        <v>4</v>
      </c>
      <c r="D7" s="13">
        <v>28</v>
      </c>
      <c r="E7" s="57" t="str">
        <f t="shared" si="0"/>
        <v>HIV-1</v>
      </c>
      <c r="F7" t="str">
        <f t="shared" si="1"/>
        <v>Diagnostic Services: Laboratory</v>
      </c>
      <c r="G7" t="str">
        <f t="shared" si="2"/>
        <v>Plan Deductible Only</v>
      </c>
      <c r="H7" s="109">
        <f t="shared" si="3"/>
        <v>15.48</v>
      </c>
      <c r="I7" s="109">
        <f t="shared" si="4"/>
        <v>0</v>
      </c>
      <c r="J7" s="109">
        <f t="shared" si="5"/>
        <v>15.48</v>
      </c>
      <c r="K7" s="5" t="str">
        <f t="shared" si="6"/>
        <v>None</v>
      </c>
      <c r="L7">
        <f t="shared" si="7"/>
        <v>0</v>
      </c>
      <c r="M7" s="3">
        <f t="shared" si="8"/>
        <v>0</v>
      </c>
      <c r="N7" s="5" t="str">
        <f t="shared" si="9"/>
        <v>None</v>
      </c>
      <c r="O7">
        <f t="shared" si="10"/>
        <v>0</v>
      </c>
      <c r="P7" s="3">
        <f t="shared" si="11"/>
        <v>0</v>
      </c>
      <c r="Q7" s="8">
        <f t="shared" si="12"/>
        <v>0</v>
      </c>
      <c r="R7" s="16">
        <f t="shared" si="13"/>
        <v>0</v>
      </c>
      <c r="S7" s="8">
        <f t="shared" si="14"/>
        <v>0</v>
      </c>
      <c r="T7" s="8">
        <f t="shared" si="15"/>
        <v>15.48</v>
      </c>
      <c r="U7" s="5" t="b">
        <f t="shared" si="16"/>
        <v>1</v>
      </c>
      <c r="V7" s="8">
        <f t="shared" si="17"/>
        <v>850.61</v>
      </c>
      <c r="W7" s="8">
        <f t="shared" si="18"/>
        <v>15.48</v>
      </c>
      <c r="X7" s="5" t="b">
        <f t="shared" si="19"/>
        <v>0</v>
      </c>
      <c r="Y7" s="8">
        <f t="shared" si="20"/>
        <v>0</v>
      </c>
      <c r="Z7" s="8">
        <f t="shared" si="21"/>
        <v>0</v>
      </c>
      <c r="AA7" s="5" t="b">
        <f t="shared" si="22"/>
        <v>0</v>
      </c>
      <c r="AB7" s="8">
        <f t="shared" si="23"/>
        <v>0</v>
      </c>
      <c r="AC7" s="8">
        <f t="shared" si="24"/>
        <v>0</v>
      </c>
      <c r="AD7" s="5" t="b">
        <f t="shared" si="25"/>
        <v>0</v>
      </c>
      <c r="AE7" s="8">
        <f t="shared" si="26"/>
        <v>0</v>
      </c>
      <c r="AF7" s="8">
        <f t="shared" si="27"/>
        <v>0</v>
      </c>
      <c r="AG7" s="5" t="b">
        <f t="shared" si="28"/>
        <v>0</v>
      </c>
      <c r="AH7" s="8">
        <f t="shared" si="29"/>
        <v>0</v>
      </c>
      <c r="AI7" s="8">
        <f t="shared" si="30"/>
        <v>0</v>
      </c>
      <c r="AJ7" s="24">
        <f t="shared" si="31"/>
        <v>15.48</v>
      </c>
      <c r="AK7" s="8">
        <f t="shared" si="32"/>
        <v>0</v>
      </c>
      <c r="AL7" s="8">
        <f t="shared" si="33"/>
        <v>15.48</v>
      </c>
      <c r="AM7" s="183" t="b">
        <f t="shared" si="34"/>
        <v>1</v>
      </c>
      <c r="AN7" s="8">
        <f t="shared" si="35"/>
        <v>15.48</v>
      </c>
      <c r="AO7" s="54">
        <f t="shared" si="36"/>
        <v>4850.6099999999997</v>
      </c>
      <c r="AP7" s="8">
        <f t="shared" si="37"/>
        <v>15.48</v>
      </c>
      <c r="AQ7" s="8">
        <f t="shared" si="45"/>
        <v>0</v>
      </c>
      <c r="AR7" s="106">
        <f t="shared" si="38"/>
        <v>0</v>
      </c>
      <c r="AS7" s="106">
        <f t="shared" si="39"/>
        <v>0</v>
      </c>
      <c r="AT7" s="106">
        <f t="shared" si="40"/>
        <v>0</v>
      </c>
      <c r="AU7" s="106">
        <f t="shared" si="41"/>
        <v>0</v>
      </c>
      <c r="AV7" s="106">
        <f t="shared" si="42"/>
        <v>15.48</v>
      </c>
      <c r="AW7" t="b">
        <f t="shared" si="43"/>
        <v>1</v>
      </c>
      <c r="AX7" t="b">
        <f t="shared" si="44"/>
        <v>1</v>
      </c>
    </row>
    <row r="8" spans="1:50" x14ac:dyDescent="0.25">
      <c r="A8" s="1">
        <v>6</v>
      </c>
      <c r="B8" s="10">
        <v>40634</v>
      </c>
      <c r="C8" s="5">
        <v>4</v>
      </c>
      <c r="D8" s="13">
        <v>12</v>
      </c>
      <c r="E8" s="57" t="str">
        <f t="shared" si="0"/>
        <v>Routine Venipuncture</v>
      </c>
      <c r="F8" t="str">
        <f t="shared" si="1"/>
        <v>Diagnostic Services: Laboratory</v>
      </c>
      <c r="G8" t="str">
        <f t="shared" si="2"/>
        <v>Plan Deductible Only</v>
      </c>
      <c r="H8" s="109">
        <f t="shared" si="3"/>
        <v>4.17</v>
      </c>
      <c r="I8" s="109">
        <f t="shared" si="4"/>
        <v>0</v>
      </c>
      <c r="J8" s="109">
        <f t="shared" si="5"/>
        <v>4.17</v>
      </c>
      <c r="K8" s="5" t="str">
        <f t="shared" si="6"/>
        <v>None</v>
      </c>
      <c r="L8">
        <f t="shared" si="7"/>
        <v>0</v>
      </c>
      <c r="M8" s="3">
        <f t="shared" si="8"/>
        <v>0</v>
      </c>
      <c r="N8" s="5" t="str">
        <f t="shared" si="9"/>
        <v>None</v>
      </c>
      <c r="O8">
        <f t="shared" si="10"/>
        <v>0</v>
      </c>
      <c r="P8" s="3">
        <f t="shared" si="11"/>
        <v>0</v>
      </c>
      <c r="Q8" s="8">
        <f t="shared" si="12"/>
        <v>0</v>
      </c>
      <c r="R8" s="16">
        <f t="shared" si="13"/>
        <v>0</v>
      </c>
      <c r="S8" s="8">
        <f t="shared" si="14"/>
        <v>0</v>
      </c>
      <c r="T8" s="8">
        <f t="shared" si="15"/>
        <v>4.17</v>
      </c>
      <c r="U8" s="5" t="b">
        <f t="shared" si="16"/>
        <v>1</v>
      </c>
      <c r="V8" s="8">
        <f t="shared" si="17"/>
        <v>835.13</v>
      </c>
      <c r="W8" s="8">
        <f t="shared" si="18"/>
        <v>4.17</v>
      </c>
      <c r="X8" s="5" t="b">
        <f t="shared" si="19"/>
        <v>0</v>
      </c>
      <c r="Y8" s="8">
        <f t="shared" si="20"/>
        <v>0</v>
      </c>
      <c r="Z8" s="8">
        <f t="shared" si="21"/>
        <v>0</v>
      </c>
      <c r="AA8" s="5" t="b">
        <f t="shared" si="22"/>
        <v>0</v>
      </c>
      <c r="AB8" s="8">
        <f t="shared" si="23"/>
        <v>0</v>
      </c>
      <c r="AC8" s="8">
        <f t="shared" si="24"/>
        <v>0</v>
      </c>
      <c r="AD8" s="5" t="b">
        <f t="shared" si="25"/>
        <v>0</v>
      </c>
      <c r="AE8" s="8">
        <f t="shared" si="26"/>
        <v>0</v>
      </c>
      <c r="AF8" s="8">
        <f t="shared" si="27"/>
        <v>0</v>
      </c>
      <c r="AG8" s="5" t="b">
        <f t="shared" si="28"/>
        <v>0</v>
      </c>
      <c r="AH8" s="8">
        <f t="shared" si="29"/>
        <v>0</v>
      </c>
      <c r="AI8" s="8">
        <f t="shared" si="30"/>
        <v>0</v>
      </c>
      <c r="AJ8" s="24">
        <f t="shared" si="31"/>
        <v>4.17</v>
      </c>
      <c r="AK8" s="8">
        <f t="shared" si="32"/>
        <v>0</v>
      </c>
      <c r="AL8" s="8">
        <f t="shared" si="33"/>
        <v>4.17</v>
      </c>
      <c r="AM8" s="183" t="b">
        <f t="shared" si="34"/>
        <v>1</v>
      </c>
      <c r="AN8" s="8">
        <f t="shared" si="35"/>
        <v>4.17</v>
      </c>
      <c r="AO8" s="54">
        <f t="shared" si="36"/>
        <v>4835.13</v>
      </c>
      <c r="AP8" s="8">
        <f t="shared" si="37"/>
        <v>4.17</v>
      </c>
      <c r="AQ8" s="8">
        <f t="shared" si="45"/>
        <v>0</v>
      </c>
      <c r="AR8" s="106">
        <f t="shared" si="38"/>
        <v>0</v>
      </c>
      <c r="AS8" s="106">
        <f t="shared" si="39"/>
        <v>0</v>
      </c>
      <c r="AT8" s="106">
        <f t="shared" si="40"/>
        <v>0</v>
      </c>
      <c r="AU8" s="106">
        <f t="shared" si="41"/>
        <v>0</v>
      </c>
      <c r="AV8" s="106">
        <f t="shared" si="42"/>
        <v>4.17</v>
      </c>
      <c r="AW8" t="b">
        <f t="shared" si="43"/>
        <v>1</v>
      </c>
      <c r="AX8" t="b">
        <f t="shared" si="44"/>
        <v>1</v>
      </c>
    </row>
    <row r="9" spans="1:50" x14ac:dyDescent="0.25">
      <c r="A9" s="1">
        <v>7</v>
      </c>
      <c r="B9" s="10">
        <v>40634</v>
      </c>
      <c r="C9" s="5">
        <v>4</v>
      </c>
      <c r="D9" s="13">
        <v>35</v>
      </c>
      <c r="E9" s="57" t="str">
        <f t="shared" si="0"/>
        <v>Urine Pregnancy Test</v>
      </c>
      <c r="F9" t="str">
        <f t="shared" si="1"/>
        <v>Diagnostic Services: Laboratory</v>
      </c>
      <c r="G9" t="str">
        <f t="shared" si="2"/>
        <v>Plan Deductible Only</v>
      </c>
      <c r="H9" s="109">
        <f t="shared" si="3"/>
        <v>9.06</v>
      </c>
      <c r="I9" s="109">
        <f t="shared" si="4"/>
        <v>0</v>
      </c>
      <c r="J9" s="109">
        <f t="shared" si="5"/>
        <v>9.06</v>
      </c>
      <c r="K9" s="5" t="str">
        <f t="shared" si="6"/>
        <v>None</v>
      </c>
      <c r="L9">
        <f t="shared" si="7"/>
        <v>0</v>
      </c>
      <c r="M9" s="3">
        <f t="shared" si="8"/>
        <v>0</v>
      </c>
      <c r="N9" s="5" t="str">
        <f t="shared" si="9"/>
        <v>None</v>
      </c>
      <c r="O9">
        <f t="shared" si="10"/>
        <v>0</v>
      </c>
      <c r="P9" s="3">
        <f t="shared" si="11"/>
        <v>0</v>
      </c>
      <c r="Q9" s="8">
        <f t="shared" si="12"/>
        <v>0</v>
      </c>
      <c r="R9" s="16">
        <f t="shared" si="13"/>
        <v>0</v>
      </c>
      <c r="S9" s="8">
        <f t="shared" si="14"/>
        <v>0</v>
      </c>
      <c r="T9" s="8">
        <f t="shared" si="15"/>
        <v>9.06</v>
      </c>
      <c r="U9" s="5" t="b">
        <f t="shared" si="16"/>
        <v>1</v>
      </c>
      <c r="V9" s="8">
        <f t="shared" si="17"/>
        <v>830.96</v>
      </c>
      <c r="W9" s="8">
        <f t="shared" si="18"/>
        <v>9.06</v>
      </c>
      <c r="X9" s="5" t="b">
        <f t="shared" si="19"/>
        <v>0</v>
      </c>
      <c r="Y9" s="8">
        <f t="shared" si="20"/>
        <v>0</v>
      </c>
      <c r="Z9" s="8">
        <f t="shared" si="21"/>
        <v>0</v>
      </c>
      <c r="AA9" s="5" t="b">
        <f t="shared" si="22"/>
        <v>0</v>
      </c>
      <c r="AB9" s="8">
        <f t="shared" si="23"/>
        <v>0</v>
      </c>
      <c r="AC9" s="8">
        <f t="shared" si="24"/>
        <v>0</v>
      </c>
      <c r="AD9" s="5" t="b">
        <f t="shared" si="25"/>
        <v>0</v>
      </c>
      <c r="AE9" s="8">
        <f t="shared" si="26"/>
        <v>0</v>
      </c>
      <c r="AF9" s="8">
        <f t="shared" si="27"/>
        <v>0</v>
      </c>
      <c r="AG9" s="5" t="b">
        <f t="shared" si="28"/>
        <v>0</v>
      </c>
      <c r="AH9" s="8">
        <f t="shared" si="29"/>
        <v>0</v>
      </c>
      <c r="AI9" s="8">
        <f t="shared" si="30"/>
        <v>0</v>
      </c>
      <c r="AJ9" s="24">
        <f t="shared" si="31"/>
        <v>9.06</v>
      </c>
      <c r="AK9" s="8">
        <f t="shared" si="32"/>
        <v>0</v>
      </c>
      <c r="AL9" s="8">
        <f t="shared" si="33"/>
        <v>9.06</v>
      </c>
      <c r="AM9" s="183" t="b">
        <f t="shared" si="34"/>
        <v>1</v>
      </c>
      <c r="AN9" s="8">
        <f t="shared" si="35"/>
        <v>9.06</v>
      </c>
      <c r="AO9" s="54">
        <f t="shared" si="36"/>
        <v>4830.96</v>
      </c>
      <c r="AP9" s="8">
        <f t="shared" si="37"/>
        <v>9.06</v>
      </c>
      <c r="AQ9" s="8">
        <f t="shared" si="45"/>
        <v>0</v>
      </c>
      <c r="AR9" s="106">
        <f t="shared" si="38"/>
        <v>0</v>
      </c>
      <c r="AS9" s="106">
        <f t="shared" si="39"/>
        <v>0</v>
      </c>
      <c r="AT9" s="106">
        <f t="shared" si="40"/>
        <v>0</v>
      </c>
      <c r="AU9" s="106">
        <f t="shared" si="41"/>
        <v>0</v>
      </c>
      <c r="AV9" s="106">
        <f t="shared" si="42"/>
        <v>9.06</v>
      </c>
      <c r="AW9" t="b">
        <f t="shared" si="43"/>
        <v>1</v>
      </c>
      <c r="AX9" t="b">
        <f t="shared" si="44"/>
        <v>1</v>
      </c>
    </row>
    <row r="10" spans="1:50" x14ac:dyDescent="0.25">
      <c r="A10" s="1">
        <v>8</v>
      </c>
      <c r="B10" s="10">
        <v>40634</v>
      </c>
      <c r="C10" s="5">
        <v>4</v>
      </c>
      <c r="D10" s="13">
        <v>6</v>
      </c>
      <c r="E10" s="57" t="str">
        <f t="shared" si="0"/>
        <v>Obstetrical Care</v>
      </c>
      <c r="F10" t="str">
        <f t="shared" si="1"/>
        <v>Professional Services: Obstetric Care (Bundled)</v>
      </c>
      <c r="G10" t="str">
        <f t="shared" si="2"/>
        <v>Plan Deductible Only</v>
      </c>
      <c r="H10" s="109">
        <f t="shared" si="3"/>
        <v>2394.1799999999998</v>
      </c>
      <c r="I10" s="109">
        <f t="shared" si="4"/>
        <v>0</v>
      </c>
      <c r="J10" s="109">
        <f t="shared" si="5"/>
        <v>2394.1799999999998</v>
      </c>
      <c r="K10" s="5" t="str">
        <f t="shared" si="6"/>
        <v>None</v>
      </c>
      <c r="L10">
        <f t="shared" si="7"/>
        <v>0</v>
      </c>
      <c r="M10" s="3">
        <f t="shared" si="8"/>
        <v>0</v>
      </c>
      <c r="N10" s="5" t="str">
        <f t="shared" si="9"/>
        <v>None</v>
      </c>
      <c r="O10">
        <f t="shared" si="10"/>
        <v>0</v>
      </c>
      <c r="P10" s="3">
        <f t="shared" si="11"/>
        <v>0</v>
      </c>
      <c r="Q10" s="8">
        <f t="shared" si="12"/>
        <v>0</v>
      </c>
      <c r="R10" s="16">
        <f t="shared" si="13"/>
        <v>0</v>
      </c>
      <c r="S10" s="8">
        <f t="shared" si="14"/>
        <v>0</v>
      </c>
      <c r="T10" s="8">
        <f t="shared" si="15"/>
        <v>2394.1799999999998</v>
      </c>
      <c r="U10" s="5" t="b">
        <f t="shared" si="16"/>
        <v>1</v>
      </c>
      <c r="V10" s="8">
        <f t="shared" si="17"/>
        <v>821.90000000000009</v>
      </c>
      <c r="W10" s="8">
        <f t="shared" si="18"/>
        <v>821.90000000000009</v>
      </c>
      <c r="X10" s="5" t="b">
        <f t="shared" si="19"/>
        <v>0</v>
      </c>
      <c r="Y10" s="8">
        <f t="shared" si="20"/>
        <v>0</v>
      </c>
      <c r="Z10" s="8">
        <f t="shared" si="21"/>
        <v>0</v>
      </c>
      <c r="AA10" s="5" t="b">
        <f t="shared" si="22"/>
        <v>0</v>
      </c>
      <c r="AB10" s="8">
        <f t="shared" si="23"/>
        <v>0</v>
      </c>
      <c r="AC10" s="8">
        <f t="shared" si="24"/>
        <v>0</v>
      </c>
      <c r="AD10" s="5" t="b">
        <f t="shared" si="25"/>
        <v>0</v>
      </c>
      <c r="AE10" s="8">
        <f t="shared" si="26"/>
        <v>0</v>
      </c>
      <c r="AF10" s="8">
        <f t="shared" si="27"/>
        <v>0</v>
      </c>
      <c r="AG10" s="5" t="b">
        <f t="shared" si="28"/>
        <v>0</v>
      </c>
      <c r="AH10" s="8">
        <f t="shared" si="29"/>
        <v>0</v>
      </c>
      <c r="AI10" s="8">
        <f t="shared" si="30"/>
        <v>0</v>
      </c>
      <c r="AJ10" s="24">
        <f t="shared" si="31"/>
        <v>821.90000000000009</v>
      </c>
      <c r="AK10" s="8">
        <f t="shared" si="32"/>
        <v>1572.2799999999997</v>
      </c>
      <c r="AL10" s="8">
        <f t="shared" si="33"/>
        <v>821.90000000000009</v>
      </c>
      <c r="AM10" s="183" t="b">
        <f t="shared" si="34"/>
        <v>1</v>
      </c>
      <c r="AN10" s="8">
        <f t="shared" si="35"/>
        <v>821.90000000000009</v>
      </c>
      <c r="AO10" s="54">
        <f t="shared" si="36"/>
        <v>4821.8999999999996</v>
      </c>
      <c r="AP10" s="8">
        <f t="shared" si="37"/>
        <v>821.90000000000009</v>
      </c>
      <c r="AQ10" s="8">
        <f t="shared" si="45"/>
        <v>1572.2799999999997</v>
      </c>
      <c r="AR10" s="106">
        <f t="shared" si="38"/>
        <v>0</v>
      </c>
      <c r="AS10" s="106">
        <f t="shared" si="39"/>
        <v>0</v>
      </c>
      <c r="AT10" s="106">
        <f t="shared" si="40"/>
        <v>0</v>
      </c>
      <c r="AU10" s="106">
        <f t="shared" si="41"/>
        <v>0</v>
      </c>
      <c r="AV10" s="106">
        <f t="shared" si="42"/>
        <v>821.90000000000009</v>
      </c>
      <c r="AW10" t="b">
        <f t="shared" si="43"/>
        <v>1</v>
      </c>
      <c r="AX10" t="b">
        <f t="shared" si="44"/>
        <v>1</v>
      </c>
    </row>
    <row r="11" spans="1:50" x14ac:dyDescent="0.25">
      <c r="A11" s="1">
        <v>9</v>
      </c>
      <c r="B11" s="10">
        <v>40640</v>
      </c>
      <c r="C11" s="5">
        <v>4</v>
      </c>
      <c r="D11" s="13">
        <v>32</v>
      </c>
      <c r="E11" s="57" t="str">
        <f t="shared" si="0"/>
        <v>Office/Outpatient Visit Est</v>
      </c>
      <c r="F11" t="str">
        <f t="shared" si="1"/>
        <v>Professional Services: Obstetric Care (Bundled)</v>
      </c>
      <c r="G11" t="str">
        <f t="shared" si="2"/>
        <v>Plan Deductible Only</v>
      </c>
      <c r="H11" s="109">
        <f t="shared" si="3"/>
        <v>0</v>
      </c>
      <c r="I11" s="109">
        <f t="shared" si="4"/>
        <v>0</v>
      </c>
      <c r="J11" s="109">
        <f t="shared" si="5"/>
        <v>0</v>
      </c>
      <c r="K11" s="5" t="str">
        <f t="shared" si="6"/>
        <v>None</v>
      </c>
      <c r="L11">
        <f t="shared" si="7"/>
        <v>0</v>
      </c>
      <c r="M11" s="3">
        <f t="shared" si="8"/>
        <v>0</v>
      </c>
      <c r="N11" s="5" t="str">
        <f t="shared" si="9"/>
        <v>None</v>
      </c>
      <c r="O11">
        <f t="shared" si="10"/>
        <v>0</v>
      </c>
      <c r="P11" s="3">
        <f t="shared" si="11"/>
        <v>0</v>
      </c>
      <c r="Q11" s="8">
        <f t="shared" si="12"/>
        <v>0</v>
      </c>
      <c r="R11" s="16">
        <f t="shared" si="13"/>
        <v>0</v>
      </c>
      <c r="S11" s="8">
        <f t="shared" si="14"/>
        <v>0</v>
      </c>
      <c r="T11" s="8">
        <f t="shared" si="15"/>
        <v>0</v>
      </c>
      <c r="U11" s="5" t="b">
        <f t="shared" si="16"/>
        <v>1</v>
      </c>
      <c r="V11" s="8">
        <f t="shared" si="17"/>
        <v>0</v>
      </c>
      <c r="W11" s="8">
        <f t="shared" si="18"/>
        <v>0</v>
      </c>
      <c r="X11" s="5" t="b">
        <f t="shared" si="19"/>
        <v>0</v>
      </c>
      <c r="Y11" s="8">
        <f t="shared" si="20"/>
        <v>0</v>
      </c>
      <c r="Z11" s="8">
        <f t="shared" si="21"/>
        <v>0</v>
      </c>
      <c r="AA11" s="5" t="b">
        <f t="shared" si="22"/>
        <v>0</v>
      </c>
      <c r="AB11" s="8">
        <f t="shared" si="23"/>
        <v>0</v>
      </c>
      <c r="AC11" s="8">
        <f t="shared" si="24"/>
        <v>0</v>
      </c>
      <c r="AD11" s="5" t="b">
        <f t="shared" si="25"/>
        <v>0</v>
      </c>
      <c r="AE11" s="8">
        <f t="shared" si="26"/>
        <v>0</v>
      </c>
      <c r="AF11" s="8">
        <f t="shared" si="27"/>
        <v>0</v>
      </c>
      <c r="AG11" s="5" t="b">
        <f t="shared" si="28"/>
        <v>0</v>
      </c>
      <c r="AH11" s="8">
        <f t="shared" si="29"/>
        <v>0</v>
      </c>
      <c r="AI11" s="8">
        <f t="shared" si="30"/>
        <v>0</v>
      </c>
      <c r="AJ11" s="24">
        <f t="shared" si="31"/>
        <v>0</v>
      </c>
      <c r="AK11" s="8">
        <f t="shared" si="32"/>
        <v>0</v>
      </c>
      <c r="AL11" s="8">
        <f t="shared" si="33"/>
        <v>0</v>
      </c>
      <c r="AM11" s="183" t="b">
        <f t="shared" si="34"/>
        <v>1</v>
      </c>
      <c r="AN11" s="8">
        <f t="shared" si="35"/>
        <v>0</v>
      </c>
      <c r="AO11" s="54">
        <f t="shared" si="36"/>
        <v>4000</v>
      </c>
      <c r="AP11" s="8">
        <f t="shared" si="37"/>
        <v>0</v>
      </c>
      <c r="AQ11" s="8">
        <f t="shared" si="45"/>
        <v>0</v>
      </c>
      <c r="AR11" s="106">
        <f t="shared" si="38"/>
        <v>0</v>
      </c>
      <c r="AS11" s="106">
        <f t="shared" si="39"/>
        <v>0</v>
      </c>
      <c r="AT11" s="106">
        <f t="shared" si="40"/>
        <v>0</v>
      </c>
      <c r="AU11" s="106">
        <f t="shared" si="41"/>
        <v>0</v>
      </c>
      <c r="AV11" s="106">
        <f t="shared" si="42"/>
        <v>0</v>
      </c>
      <c r="AW11" t="b">
        <f t="shared" si="43"/>
        <v>1</v>
      </c>
      <c r="AX11" t="b">
        <f t="shared" si="44"/>
        <v>1</v>
      </c>
    </row>
    <row r="12" spans="1:50" x14ac:dyDescent="0.25">
      <c r="A12" s="1">
        <v>10</v>
      </c>
      <c r="B12" s="10">
        <v>40640</v>
      </c>
      <c r="C12" s="5">
        <v>4</v>
      </c>
      <c r="D12" s="13">
        <v>8</v>
      </c>
      <c r="E12" s="57" t="str">
        <f t="shared" si="0"/>
        <v>Prenatal Vitamins (OTC - Bottle of 100) [1 pill daily; 30 pills/month]</v>
      </c>
      <c r="F12" t="str">
        <f t="shared" si="1"/>
        <v>Over-the-counter Drugs</v>
      </c>
      <c r="G12" t="str">
        <f t="shared" si="2"/>
        <v>Not Covered</v>
      </c>
      <c r="H12" s="109">
        <f t="shared" si="3"/>
        <v>12.205466666666666</v>
      </c>
      <c r="I12" s="109">
        <f t="shared" si="4"/>
        <v>12.205466666666666</v>
      </c>
      <c r="J12" s="109">
        <f t="shared" si="5"/>
        <v>0</v>
      </c>
      <c r="K12" s="5" t="str">
        <f t="shared" si="6"/>
        <v>None</v>
      </c>
      <c r="L12">
        <f t="shared" si="7"/>
        <v>0</v>
      </c>
      <c r="M12" s="3">
        <f t="shared" si="8"/>
        <v>0</v>
      </c>
      <c r="N12" s="5" t="str">
        <f t="shared" si="9"/>
        <v>None</v>
      </c>
      <c r="O12">
        <f t="shared" si="10"/>
        <v>1</v>
      </c>
      <c r="P12" s="3">
        <f t="shared" si="11"/>
        <v>0</v>
      </c>
      <c r="Q12" s="8">
        <f t="shared" si="12"/>
        <v>0</v>
      </c>
      <c r="R12" s="16">
        <f t="shared" si="13"/>
        <v>0</v>
      </c>
      <c r="S12" s="8">
        <f t="shared" si="14"/>
        <v>0</v>
      </c>
      <c r="T12" s="8">
        <f t="shared" si="15"/>
        <v>0</v>
      </c>
      <c r="U12" s="5" t="b">
        <f t="shared" si="16"/>
        <v>0</v>
      </c>
      <c r="V12" s="8">
        <f t="shared" si="17"/>
        <v>0</v>
      </c>
      <c r="W12" s="8">
        <f t="shared" si="18"/>
        <v>0</v>
      </c>
      <c r="X12" s="5" t="b">
        <f t="shared" si="19"/>
        <v>0</v>
      </c>
      <c r="Y12" s="8">
        <f t="shared" si="20"/>
        <v>0</v>
      </c>
      <c r="Z12" s="8">
        <f t="shared" si="21"/>
        <v>0</v>
      </c>
      <c r="AA12" s="5" t="b">
        <f t="shared" si="22"/>
        <v>0</v>
      </c>
      <c r="AB12" s="8">
        <f t="shared" si="23"/>
        <v>0</v>
      </c>
      <c r="AC12" s="8">
        <f t="shared" si="24"/>
        <v>0</v>
      </c>
      <c r="AD12" s="5" t="b">
        <f t="shared" si="25"/>
        <v>0</v>
      </c>
      <c r="AE12" s="8">
        <f t="shared" si="26"/>
        <v>0</v>
      </c>
      <c r="AF12" s="8">
        <f t="shared" si="27"/>
        <v>0</v>
      </c>
      <c r="AG12" s="5" t="b">
        <f t="shared" si="28"/>
        <v>0</v>
      </c>
      <c r="AH12" s="8">
        <f t="shared" si="29"/>
        <v>0</v>
      </c>
      <c r="AI12" s="8">
        <f t="shared" si="30"/>
        <v>0</v>
      </c>
      <c r="AJ12" s="24">
        <f t="shared" si="31"/>
        <v>0</v>
      </c>
      <c r="AK12" s="8">
        <f t="shared" si="32"/>
        <v>0</v>
      </c>
      <c r="AL12" s="8">
        <f t="shared" si="33"/>
        <v>0</v>
      </c>
      <c r="AM12" s="183" t="b">
        <f t="shared" si="34"/>
        <v>0</v>
      </c>
      <c r="AN12" s="8">
        <f t="shared" si="35"/>
        <v>0</v>
      </c>
      <c r="AO12" s="54">
        <f t="shared" si="36"/>
        <v>0</v>
      </c>
      <c r="AP12" s="8">
        <f t="shared" si="37"/>
        <v>0</v>
      </c>
      <c r="AQ12" s="8">
        <f t="shared" si="45"/>
        <v>0</v>
      </c>
      <c r="AR12" s="106">
        <f t="shared" si="38"/>
        <v>12.205466666666666</v>
      </c>
      <c r="AS12" s="106">
        <f t="shared" si="39"/>
        <v>0</v>
      </c>
      <c r="AT12" s="106">
        <f t="shared" si="40"/>
        <v>0</v>
      </c>
      <c r="AU12" s="106">
        <f t="shared" si="41"/>
        <v>0</v>
      </c>
      <c r="AV12" s="106">
        <f t="shared" si="42"/>
        <v>0</v>
      </c>
      <c r="AW12" t="b">
        <f t="shared" si="43"/>
        <v>1</v>
      </c>
      <c r="AX12" t="b">
        <f t="shared" si="44"/>
        <v>1</v>
      </c>
    </row>
    <row r="13" spans="1:50" x14ac:dyDescent="0.25">
      <c r="A13" s="1">
        <v>11</v>
      </c>
      <c r="B13" s="10">
        <v>40690</v>
      </c>
      <c r="C13" s="5">
        <v>5</v>
      </c>
      <c r="D13" s="13">
        <v>32</v>
      </c>
      <c r="E13" s="57" t="str">
        <f t="shared" si="0"/>
        <v>Office/Outpatient Visit Est</v>
      </c>
      <c r="F13" t="str">
        <f t="shared" si="1"/>
        <v>Professional Services: Obstetric Care (Bundled)</v>
      </c>
      <c r="G13" t="str">
        <f t="shared" si="2"/>
        <v>Plan Deductible Only</v>
      </c>
      <c r="H13" s="109">
        <f t="shared" si="3"/>
        <v>0</v>
      </c>
      <c r="I13" s="109">
        <f t="shared" si="4"/>
        <v>0</v>
      </c>
      <c r="J13" s="109">
        <f t="shared" si="5"/>
        <v>0</v>
      </c>
      <c r="K13" s="5" t="str">
        <f t="shared" si="6"/>
        <v>None</v>
      </c>
      <c r="L13">
        <f t="shared" si="7"/>
        <v>0</v>
      </c>
      <c r="M13" s="3">
        <f t="shared" si="8"/>
        <v>0</v>
      </c>
      <c r="N13" s="5" t="str">
        <f t="shared" si="9"/>
        <v>None</v>
      </c>
      <c r="O13">
        <f t="shared" si="10"/>
        <v>1</v>
      </c>
      <c r="P13" s="3">
        <f t="shared" si="11"/>
        <v>0</v>
      </c>
      <c r="Q13" s="8">
        <f t="shared" si="12"/>
        <v>0</v>
      </c>
      <c r="R13" s="16">
        <f t="shared" si="13"/>
        <v>0</v>
      </c>
      <c r="S13" s="8">
        <f t="shared" si="14"/>
        <v>0</v>
      </c>
      <c r="T13" s="8">
        <f t="shared" si="15"/>
        <v>0</v>
      </c>
      <c r="U13" s="5" t="b">
        <f t="shared" si="16"/>
        <v>1</v>
      </c>
      <c r="V13" s="8">
        <f t="shared" si="17"/>
        <v>0</v>
      </c>
      <c r="W13" s="8">
        <f t="shared" si="18"/>
        <v>0</v>
      </c>
      <c r="X13" s="5" t="b">
        <f t="shared" si="19"/>
        <v>0</v>
      </c>
      <c r="Y13" s="8">
        <f t="shared" si="20"/>
        <v>0</v>
      </c>
      <c r="Z13" s="8">
        <f t="shared" si="21"/>
        <v>0</v>
      </c>
      <c r="AA13" s="5" t="b">
        <f t="shared" si="22"/>
        <v>0</v>
      </c>
      <c r="AB13" s="8">
        <f t="shared" si="23"/>
        <v>0</v>
      </c>
      <c r="AC13" s="8">
        <f t="shared" si="24"/>
        <v>0</v>
      </c>
      <c r="AD13" s="5" t="b">
        <f t="shared" si="25"/>
        <v>0</v>
      </c>
      <c r="AE13" s="8">
        <f t="shared" si="26"/>
        <v>0</v>
      </c>
      <c r="AF13" s="8">
        <f t="shared" si="27"/>
        <v>0</v>
      </c>
      <c r="AG13" s="5" t="b">
        <f t="shared" si="28"/>
        <v>0</v>
      </c>
      <c r="AH13" s="8">
        <f t="shared" si="29"/>
        <v>0</v>
      </c>
      <c r="AI13" s="8">
        <f t="shared" si="30"/>
        <v>0</v>
      </c>
      <c r="AJ13" s="24">
        <f t="shared" si="31"/>
        <v>0</v>
      </c>
      <c r="AK13" s="8">
        <f t="shared" si="32"/>
        <v>0</v>
      </c>
      <c r="AL13" s="8">
        <f t="shared" si="33"/>
        <v>0</v>
      </c>
      <c r="AM13" s="183" t="b">
        <f t="shared" si="34"/>
        <v>1</v>
      </c>
      <c r="AN13" s="8">
        <f t="shared" si="35"/>
        <v>0</v>
      </c>
      <c r="AO13" s="54">
        <f t="shared" si="36"/>
        <v>4000</v>
      </c>
      <c r="AP13" s="8">
        <f t="shared" si="37"/>
        <v>0</v>
      </c>
      <c r="AQ13" s="8">
        <f t="shared" si="45"/>
        <v>0</v>
      </c>
      <c r="AR13" s="106">
        <f t="shared" si="38"/>
        <v>0</v>
      </c>
      <c r="AS13" s="106">
        <f t="shared" si="39"/>
        <v>0</v>
      </c>
      <c r="AT13" s="106">
        <f t="shared" si="40"/>
        <v>0</v>
      </c>
      <c r="AU13" s="106">
        <f t="shared" si="41"/>
        <v>0</v>
      </c>
      <c r="AV13" s="106">
        <f t="shared" si="42"/>
        <v>0</v>
      </c>
      <c r="AW13" t="b">
        <f t="shared" si="43"/>
        <v>1</v>
      </c>
      <c r="AX13" t="b">
        <f t="shared" si="44"/>
        <v>1</v>
      </c>
    </row>
    <row r="14" spans="1:50" x14ac:dyDescent="0.25">
      <c r="A14" s="1">
        <v>12</v>
      </c>
      <c r="B14" s="10">
        <v>40718</v>
      </c>
      <c r="C14" s="5">
        <v>6</v>
      </c>
      <c r="D14" s="13">
        <v>15</v>
      </c>
      <c r="E14" s="57" t="str">
        <f t="shared" si="0"/>
        <v>Alpha-fetoprotein serum</v>
      </c>
      <c r="F14" t="str">
        <f t="shared" si="1"/>
        <v>Diagnostic Services: Laboratory</v>
      </c>
      <c r="G14" t="str">
        <f t="shared" si="2"/>
        <v>Plan Deductible Only</v>
      </c>
      <c r="H14" s="109">
        <f t="shared" si="3"/>
        <v>17.53</v>
      </c>
      <c r="I14" s="109">
        <f t="shared" si="4"/>
        <v>0</v>
      </c>
      <c r="J14" s="109">
        <f t="shared" si="5"/>
        <v>17.53</v>
      </c>
      <c r="K14" s="5" t="str">
        <f t="shared" si="6"/>
        <v>None</v>
      </c>
      <c r="L14">
        <f t="shared" si="7"/>
        <v>0</v>
      </c>
      <c r="M14" s="3">
        <f t="shared" si="8"/>
        <v>0</v>
      </c>
      <c r="N14" s="5" t="str">
        <f t="shared" si="9"/>
        <v>None</v>
      </c>
      <c r="O14">
        <f t="shared" si="10"/>
        <v>0</v>
      </c>
      <c r="P14" s="3">
        <f t="shared" si="11"/>
        <v>0</v>
      </c>
      <c r="Q14" s="8">
        <f t="shared" si="12"/>
        <v>0</v>
      </c>
      <c r="R14" s="16">
        <f t="shared" si="13"/>
        <v>0</v>
      </c>
      <c r="S14" s="8">
        <f t="shared" si="14"/>
        <v>0</v>
      </c>
      <c r="T14" s="8">
        <f t="shared" si="15"/>
        <v>17.53</v>
      </c>
      <c r="U14" s="5" t="b">
        <f t="shared" si="16"/>
        <v>1</v>
      </c>
      <c r="V14" s="8">
        <f t="shared" si="17"/>
        <v>0</v>
      </c>
      <c r="W14" s="8">
        <f t="shared" si="18"/>
        <v>0</v>
      </c>
      <c r="X14" s="5" t="b">
        <f t="shared" si="19"/>
        <v>0</v>
      </c>
      <c r="Y14" s="8">
        <f t="shared" si="20"/>
        <v>0</v>
      </c>
      <c r="Z14" s="8">
        <f t="shared" si="21"/>
        <v>0</v>
      </c>
      <c r="AA14" s="5" t="b">
        <f t="shared" si="22"/>
        <v>0</v>
      </c>
      <c r="AB14" s="8">
        <f t="shared" si="23"/>
        <v>0</v>
      </c>
      <c r="AC14" s="8">
        <f t="shared" si="24"/>
        <v>0</v>
      </c>
      <c r="AD14" s="5" t="b">
        <f t="shared" si="25"/>
        <v>0</v>
      </c>
      <c r="AE14" s="8">
        <f t="shared" si="26"/>
        <v>0</v>
      </c>
      <c r="AF14" s="8">
        <f t="shared" si="27"/>
        <v>0</v>
      </c>
      <c r="AG14" s="5" t="b">
        <f t="shared" si="28"/>
        <v>0</v>
      </c>
      <c r="AH14" s="8">
        <f t="shared" si="29"/>
        <v>0</v>
      </c>
      <c r="AI14" s="8">
        <f t="shared" si="30"/>
        <v>0</v>
      </c>
      <c r="AJ14" s="24">
        <f t="shared" si="31"/>
        <v>0</v>
      </c>
      <c r="AK14" s="8">
        <f t="shared" si="32"/>
        <v>17.53</v>
      </c>
      <c r="AL14" s="8">
        <f t="shared" si="33"/>
        <v>0</v>
      </c>
      <c r="AM14" s="183" t="b">
        <f t="shared" si="34"/>
        <v>1</v>
      </c>
      <c r="AN14" s="8">
        <f t="shared" si="35"/>
        <v>0</v>
      </c>
      <c r="AO14" s="54">
        <f t="shared" si="36"/>
        <v>4000</v>
      </c>
      <c r="AP14" s="8">
        <f t="shared" si="37"/>
        <v>0</v>
      </c>
      <c r="AQ14" s="8">
        <f t="shared" si="45"/>
        <v>17.53</v>
      </c>
      <c r="AR14" s="106">
        <f t="shared" si="38"/>
        <v>0</v>
      </c>
      <c r="AS14" s="106">
        <f t="shared" si="39"/>
        <v>0</v>
      </c>
      <c r="AT14" s="106">
        <f t="shared" si="40"/>
        <v>0</v>
      </c>
      <c r="AU14" s="106">
        <f t="shared" si="41"/>
        <v>0</v>
      </c>
      <c r="AV14" s="106">
        <f t="shared" si="42"/>
        <v>0</v>
      </c>
      <c r="AW14" t="b">
        <f t="shared" si="43"/>
        <v>1</v>
      </c>
      <c r="AX14" t="b">
        <f t="shared" si="44"/>
        <v>1</v>
      </c>
    </row>
    <row r="15" spans="1:50" x14ac:dyDescent="0.25">
      <c r="A15" s="1">
        <v>13</v>
      </c>
      <c r="B15" s="10">
        <v>40718</v>
      </c>
      <c r="C15" s="5">
        <v>6</v>
      </c>
      <c r="D15" s="13">
        <v>16</v>
      </c>
      <c r="E15" s="57" t="str">
        <f t="shared" si="0"/>
        <v>Assay of estriol</v>
      </c>
      <c r="F15" t="str">
        <f t="shared" si="1"/>
        <v>Diagnostic Services: Laboratory</v>
      </c>
      <c r="G15" t="str">
        <f t="shared" si="2"/>
        <v>Plan Deductible Only</v>
      </c>
      <c r="H15" s="109">
        <f t="shared" si="3"/>
        <v>23.82</v>
      </c>
      <c r="I15" s="109">
        <f t="shared" si="4"/>
        <v>0</v>
      </c>
      <c r="J15" s="109">
        <f t="shared" si="5"/>
        <v>23.82</v>
      </c>
      <c r="K15" s="5" t="str">
        <f t="shared" si="6"/>
        <v>None</v>
      </c>
      <c r="L15">
        <f t="shared" si="7"/>
        <v>0</v>
      </c>
      <c r="M15" s="3">
        <f t="shared" si="8"/>
        <v>0</v>
      </c>
      <c r="N15" s="5" t="str">
        <f t="shared" si="9"/>
        <v>None</v>
      </c>
      <c r="O15">
        <f t="shared" si="10"/>
        <v>0</v>
      </c>
      <c r="P15" s="3">
        <f t="shared" si="11"/>
        <v>0</v>
      </c>
      <c r="Q15" s="8">
        <f t="shared" si="12"/>
        <v>0</v>
      </c>
      <c r="R15" s="16">
        <f t="shared" si="13"/>
        <v>0</v>
      </c>
      <c r="S15" s="8">
        <f t="shared" si="14"/>
        <v>0</v>
      </c>
      <c r="T15" s="8">
        <f t="shared" si="15"/>
        <v>23.82</v>
      </c>
      <c r="U15" s="5" t="b">
        <f t="shared" si="16"/>
        <v>1</v>
      </c>
      <c r="V15" s="8">
        <f t="shared" si="17"/>
        <v>0</v>
      </c>
      <c r="W15" s="8">
        <f t="shared" si="18"/>
        <v>0</v>
      </c>
      <c r="X15" s="5" t="b">
        <f t="shared" si="19"/>
        <v>0</v>
      </c>
      <c r="Y15" s="8">
        <f t="shared" si="20"/>
        <v>0</v>
      </c>
      <c r="Z15" s="8">
        <f t="shared" si="21"/>
        <v>0</v>
      </c>
      <c r="AA15" s="5" t="b">
        <f t="shared" si="22"/>
        <v>0</v>
      </c>
      <c r="AB15" s="8">
        <f t="shared" si="23"/>
        <v>0</v>
      </c>
      <c r="AC15" s="8">
        <f t="shared" si="24"/>
        <v>0</v>
      </c>
      <c r="AD15" s="5" t="b">
        <f t="shared" si="25"/>
        <v>0</v>
      </c>
      <c r="AE15" s="8">
        <f t="shared" si="26"/>
        <v>0</v>
      </c>
      <c r="AF15" s="8">
        <f t="shared" si="27"/>
        <v>0</v>
      </c>
      <c r="AG15" s="5" t="b">
        <f t="shared" si="28"/>
        <v>0</v>
      </c>
      <c r="AH15" s="8">
        <f t="shared" si="29"/>
        <v>0</v>
      </c>
      <c r="AI15" s="8">
        <f t="shared" si="30"/>
        <v>0</v>
      </c>
      <c r="AJ15" s="24">
        <f t="shared" si="31"/>
        <v>0</v>
      </c>
      <c r="AK15" s="8">
        <f t="shared" si="32"/>
        <v>23.82</v>
      </c>
      <c r="AL15" s="8">
        <f t="shared" si="33"/>
        <v>0</v>
      </c>
      <c r="AM15" s="183" t="b">
        <f t="shared" si="34"/>
        <v>1</v>
      </c>
      <c r="AN15" s="8">
        <f t="shared" si="35"/>
        <v>0</v>
      </c>
      <c r="AO15" s="54">
        <f t="shared" si="36"/>
        <v>4000</v>
      </c>
      <c r="AP15" s="8">
        <f t="shared" si="37"/>
        <v>0</v>
      </c>
      <c r="AQ15" s="8">
        <f t="shared" si="45"/>
        <v>23.82</v>
      </c>
      <c r="AR15" s="106">
        <f t="shared" si="38"/>
        <v>0</v>
      </c>
      <c r="AS15" s="106">
        <f t="shared" si="39"/>
        <v>0</v>
      </c>
      <c r="AT15" s="106">
        <f t="shared" si="40"/>
        <v>0</v>
      </c>
      <c r="AU15" s="106">
        <f t="shared" si="41"/>
        <v>0</v>
      </c>
      <c r="AV15" s="106">
        <f t="shared" si="42"/>
        <v>0</v>
      </c>
      <c r="AW15" t="b">
        <f t="shared" si="43"/>
        <v>1</v>
      </c>
      <c r="AX15" t="b">
        <f t="shared" si="44"/>
        <v>1</v>
      </c>
    </row>
    <row r="16" spans="1:50" x14ac:dyDescent="0.25">
      <c r="A16" s="1">
        <v>14</v>
      </c>
      <c r="B16" s="10">
        <v>40718</v>
      </c>
      <c r="C16" s="5">
        <v>6</v>
      </c>
      <c r="D16" s="13">
        <v>25</v>
      </c>
      <c r="E16" s="57" t="str">
        <f t="shared" si="0"/>
        <v>Chorionic gonadotropin test</v>
      </c>
      <c r="F16" t="str">
        <f t="shared" si="1"/>
        <v>Diagnostic Services: Laboratory</v>
      </c>
      <c r="G16" t="str">
        <f t="shared" si="2"/>
        <v>Plan Deductible Only</v>
      </c>
      <c r="H16" s="109">
        <f t="shared" si="3"/>
        <v>16.399999999999999</v>
      </c>
      <c r="I16" s="109">
        <f t="shared" si="4"/>
        <v>0</v>
      </c>
      <c r="J16" s="109">
        <f t="shared" si="5"/>
        <v>16.399999999999999</v>
      </c>
      <c r="K16" s="5" t="str">
        <f t="shared" si="6"/>
        <v>None</v>
      </c>
      <c r="L16">
        <f t="shared" si="7"/>
        <v>0</v>
      </c>
      <c r="M16" s="3">
        <f t="shared" si="8"/>
        <v>0</v>
      </c>
      <c r="N16" s="5" t="str">
        <f t="shared" si="9"/>
        <v>None</v>
      </c>
      <c r="O16">
        <f t="shared" si="10"/>
        <v>0</v>
      </c>
      <c r="P16" s="3">
        <f t="shared" si="11"/>
        <v>0</v>
      </c>
      <c r="Q16" s="8">
        <f t="shared" si="12"/>
        <v>0</v>
      </c>
      <c r="R16" s="16">
        <f t="shared" si="13"/>
        <v>0</v>
      </c>
      <c r="S16" s="8">
        <f t="shared" si="14"/>
        <v>0</v>
      </c>
      <c r="T16" s="8">
        <f t="shared" si="15"/>
        <v>16.399999999999999</v>
      </c>
      <c r="U16" s="5" t="b">
        <f t="shared" si="16"/>
        <v>1</v>
      </c>
      <c r="V16" s="8">
        <f t="shared" si="17"/>
        <v>0</v>
      </c>
      <c r="W16" s="8">
        <f t="shared" si="18"/>
        <v>0</v>
      </c>
      <c r="X16" s="5" t="b">
        <f t="shared" si="19"/>
        <v>0</v>
      </c>
      <c r="Y16" s="8">
        <f t="shared" si="20"/>
        <v>0</v>
      </c>
      <c r="Z16" s="8">
        <f t="shared" si="21"/>
        <v>0</v>
      </c>
      <c r="AA16" s="5" t="b">
        <f t="shared" si="22"/>
        <v>0</v>
      </c>
      <c r="AB16" s="8">
        <f t="shared" si="23"/>
        <v>0</v>
      </c>
      <c r="AC16" s="8">
        <f t="shared" si="24"/>
        <v>0</v>
      </c>
      <c r="AD16" s="5" t="b">
        <f t="shared" si="25"/>
        <v>0</v>
      </c>
      <c r="AE16" s="8">
        <f t="shared" si="26"/>
        <v>0</v>
      </c>
      <c r="AF16" s="8">
        <f t="shared" si="27"/>
        <v>0</v>
      </c>
      <c r="AG16" s="5" t="b">
        <f t="shared" si="28"/>
        <v>0</v>
      </c>
      <c r="AH16" s="8">
        <f t="shared" si="29"/>
        <v>0</v>
      </c>
      <c r="AI16" s="8">
        <f t="shared" si="30"/>
        <v>0</v>
      </c>
      <c r="AJ16" s="24">
        <f t="shared" si="31"/>
        <v>0</v>
      </c>
      <c r="AK16" s="8">
        <f t="shared" si="32"/>
        <v>16.399999999999999</v>
      </c>
      <c r="AL16" s="8">
        <f t="shared" si="33"/>
        <v>0</v>
      </c>
      <c r="AM16" s="183" t="b">
        <f t="shared" si="34"/>
        <v>1</v>
      </c>
      <c r="AN16" s="8">
        <f t="shared" si="35"/>
        <v>0</v>
      </c>
      <c r="AO16" s="54">
        <f t="shared" si="36"/>
        <v>4000</v>
      </c>
      <c r="AP16" s="8">
        <f t="shared" si="37"/>
        <v>0</v>
      </c>
      <c r="AQ16" s="8">
        <f t="shared" si="45"/>
        <v>16.399999999999999</v>
      </c>
      <c r="AR16" s="106">
        <f t="shared" si="38"/>
        <v>0</v>
      </c>
      <c r="AS16" s="106">
        <f t="shared" si="39"/>
        <v>0</v>
      </c>
      <c r="AT16" s="106">
        <f t="shared" si="40"/>
        <v>0</v>
      </c>
      <c r="AU16" s="106">
        <f t="shared" si="41"/>
        <v>0</v>
      </c>
      <c r="AV16" s="106">
        <f t="shared" si="42"/>
        <v>0</v>
      </c>
      <c r="AW16" t="b">
        <f t="shared" si="43"/>
        <v>1</v>
      </c>
      <c r="AX16" t="b">
        <f t="shared" si="44"/>
        <v>1</v>
      </c>
    </row>
    <row r="17" spans="1:50" x14ac:dyDescent="0.25">
      <c r="A17" s="1">
        <v>15</v>
      </c>
      <c r="B17" s="10">
        <v>40718</v>
      </c>
      <c r="C17" s="5">
        <v>6</v>
      </c>
      <c r="D17" s="13">
        <v>27</v>
      </c>
      <c r="E17" s="57" t="str">
        <f t="shared" si="0"/>
        <v>Inhibin A</v>
      </c>
      <c r="F17" t="str">
        <f t="shared" si="1"/>
        <v>Diagnostic Services: Laboratory</v>
      </c>
      <c r="G17" t="str">
        <f t="shared" si="2"/>
        <v>Plan Deductible Only</v>
      </c>
      <c r="H17" s="109">
        <f t="shared" si="3"/>
        <v>17.43</v>
      </c>
      <c r="I17" s="109">
        <f t="shared" si="4"/>
        <v>0</v>
      </c>
      <c r="J17" s="109">
        <f t="shared" si="5"/>
        <v>17.43</v>
      </c>
      <c r="K17" s="5" t="str">
        <f t="shared" si="6"/>
        <v>None</v>
      </c>
      <c r="L17">
        <f t="shared" si="7"/>
        <v>0</v>
      </c>
      <c r="M17" s="3">
        <f t="shared" si="8"/>
        <v>0</v>
      </c>
      <c r="N17" s="5" t="str">
        <f t="shared" si="9"/>
        <v>None</v>
      </c>
      <c r="O17">
        <f t="shared" si="10"/>
        <v>0</v>
      </c>
      <c r="P17" s="3">
        <f t="shared" si="11"/>
        <v>0</v>
      </c>
      <c r="Q17" s="8">
        <f t="shared" si="12"/>
        <v>0</v>
      </c>
      <c r="R17" s="16">
        <f t="shared" si="13"/>
        <v>0</v>
      </c>
      <c r="S17" s="8">
        <f t="shared" si="14"/>
        <v>0</v>
      </c>
      <c r="T17" s="8">
        <f t="shared" si="15"/>
        <v>17.43</v>
      </c>
      <c r="U17" s="5" t="b">
        <f t="shared" si="16"/>
        <v>1</v>
      </c>
      <c r="V17" s="8">
        <f t="shared" si="17"/>
        <v>0</v>
      </c>
      <c r="W17" s="8">
        <f t="shared" si="18"/>
        <v>0</v>
      </c>
      <c r="X17" s="5" t="b">
        <f t="shared" si="19"/>
        <v>0</v>
      </c>
      <c r="Y17" s="8">
        <f t="shared" si="20"/>
        <v>0</v>
      </c>
      <c r="Z17" s="8">
        <f t="shared" si="21"/>
        <v>0</v>
      </c>
      <c r="AA17" s="5" t="b">
        <f t="shared" si="22"/>
        <v>0</v>
      </c>
      <c r="AB17" s="8">
        <f t="shared" si="23"/>
        <v>0</v>
      </c>
      <c r="AC17" s="8">
        <f t="shared" si="24"/>
        <v>0</v>
      </c>
      <c r="AD17" s="5" t="b">
        <f t="shared" si="25"/>
        <v>0</v>
      </c>
      <c r="AE17" s="8">
        <f t="shared" si="26"/>
        <v>0</v>
      </c>
      <c r="AF17" s="8">
        <f t="shared" si="27"/>
        <v>0</v>
      </c>
      <c r="AG17" s="5" t="b">
        <f t="shared" si="28"/>
        <v>0</v>
      </c>
      <c r="AH17" s="8">
        <f t="shared" si="29"/>
        <v>0</v>
      </c>
      <c r="AI17" s="8">
        <f t="shared" si="30"/>
        <v>0</v>
      </c>
      <c r="AJ17" s="24">
        <f t="shared" si="31"/>
        <v>0</v>
      </c>
      <c r="AK17" s="8">
        <f t="shared" si="32"/>
        <v>17.43</v>
      </c>
      <c r="AL17" s="8">
        <f t="shared" si="33"/>
        <v>0</v>
      </c>
      <c r="AM17" s="183" t="b">
        <f t="shared" si="34"/>
        <v>1</v>
      </c>
      <c r="AN17" s="8">
        <f t="shared" si="35"/>
        <v>0</v>
      </c>
      <c r="AO17" s="54">
        <f t="shared" si="36"/>
        <v>4000</v>
      </c>
      <c r="AP17" s="8">
        <f t="shared" si="37"/>
        <v>0</v>
      </c>
      <c r="AQ17" s="8">
        <f t="shared" si="45"/>
        <v>17.43</v>
      </c>
      <c r="AR17" s="106">
        <f t="shared" si="38"/>
        <v>0</v>
      </c>
      <c r="AS17" s="106">
        <f t="shared" si="39"/>
        <v>0</v>
      </c>
      <c r="AT17" s="106">
        <f t="shared" si="40"/>
        <v>0</v>
      </c>
      <c r="AU17" s="106">
        <f t="shared" si="41"/>
        <v>0</v>
      </c>
      <c r="AV17" s="106">
        <f t="shared" si="42"/>
        <v>0</v>
      </c>
      <c r="AW17" t="b">
        <f t="shared" si="43"/>
        <v>1</v>
      </c>
      <c r="AX17" t="b">
        <f t="shared" si="44"/>
        <v>1</v>
      </c>
    </row>
    <row r="18" spans="1:50" x14ac:dyDescent="0.25">
      <c r="A18" s="1">
        <v>16</v>
      </c>
      <c r="B18" s="10">
        <v>40718</v>
      </c>
      <c r="C18" s="5">
        <v>6</v>
      </c>
      <c r="D18" s="13">
        <v>37</v>
      </c>
      <c r="E18" s="57" t="str">
        <f t="shared" si="0"/>
        <v>CFTR gene analysis, common variants</v>
      </c>
      <c r="F18" t="str">
        <f t="shared" si="1"/>
        <v>Diagnostic Services: Laboratory</v>
      </c>
      <c r="G18" t="str">
        <f t="shared" si="2"/>
        <v>Plan Deductible Only</v>
      </c>
      <c r="H18" s="109">
        <f t="shared" si="3"/>
        <v>561.73</v>
      </c>
      <c r="I18" s="109">
        <f t="shared" si="4"/>
        <v>0</v>
      </c>
      <c r="J18" s="109">
        <f t="shared" si="5"/>
        <v>561.73</v>
      </c>
      <c r="K18" s="5" t="str">
        <f t="shared" si="6"/>
        <v>None</v>
      </c>
      <c r="L18">
        <f t="shared" si="7"/>
        <v>0</v>
      </c>
      <c r="M18" s="3">
        <f t="shared" si="8"/>
        <v>0</v>
      </c>
      <c r="N18" s="5" t="str">
        <f t="shared" si="9"/>
        <v>None</v>
      </c>
      <c r="O18">
        <f t="shared" si="10"/>
        <v>0</v>
      </c>
      <c r="P18" s="3">
        <f t="shared" si="11"/>
        <v>0</v>
      </c>
      <c r="Q18" s="8">
        <f t="shared" si="12"/>
        <v>0</v>
      </c>
      <c r="R18" s="16">
        <f t="shared" si="13"/>
        <v>0</v>
      </c>
      <c r="S18" s="8">
        <f t="shared" si="14"/>
        <v>0</v>
      </c>
      <c r="T18" s="8">
        <f t="shared" si="15"/>
        <v>561.73</v>
      </c>
      <c r="U18" s="5" t="b">
        <f t="shared" si="16"/>
        <v>1</v>
      </c>
      <c r="V18" s="8">
        <f t="shared" si="17"/>
        <v>0</v>
      </c>
      <c r="W18" s="8">
        <f t="shared" si="18"/>
        <v>0</v>
      </c>
      <c r="X18" s="5" t="b">
        <f t="shared" si="19"/>
        <v>0</v>
      </c>
      <c r="Y18" s="8">
        <f t="shared" si="20"/>
        <v>0</v>
      </c>
      <c r="Z18" s="8">
        <f t="shared" si="21"/>
        <v>0</v>
      </c>
      <c r="AA18" s="5" t="b">
        <f t="shared" si="22"/>
        <v>0</v>
      </c>
      <c r="AB18" s="8">
        <f t="shared" si="23"/>
        <v>0</v>
      </c>
      <c r="AC18" s="8">
        <f t="shared" si="24"/>
        <v>0</v>
      </c>
      <c r="AD18" s="5" t="b">
        <f t="shared" si="25"/>
        <v>0</v>
      </c>
      <c r="AE18" s="8">
        <f t="shared" si="26"/>
        <v>0</v>
      </c>
      <c r="AF18" s="8">
        <f t="shared" si="27"/>
        <v>0</v>
      </c>
      <c r="AG18" s="5" t="b">
        <f t="shared" si="28"/>
        <v>0</v>
      </c>
      <c r="AH18" s="8">
        <f t="shared" si="29"/>
        <v>0</v>
      </c>
      <c r="AI18" s="8">
        <f t="shared" si="30"/>
        <v>0</v>
      </c>
      <c r="AJ18" s="24">
        <f t="shared" si="31"/>
        <v>0</v>
      </c>
      <c r="AK18" s="8">
        <f t="shared" si="32"/>
        <v>561.73</v>
      </c>
      <c r="AL18" s="8">
        <f t="shared" si="33"/>
        <v>0</v>
      </c>
      <c r="AM18" s="183" t="b">
        <f t="shared" si="34"/>
        <v>1</v>
      </c>
      <c r="AN18" s="8">
        <f t="shared" si="35"/>
        <v>0</v>
      </c>
      <c r="AO18" s="54">
        <f t="shared" si="36"/>
        <v>4000</v>
      </c>
      <c r="AP18" s="8">
        <f t="shared" si="37"/>
        <v>0</v>
      </c>
      <c r="AQ18" s="8">
        <f t="shared" si="45"/>
        <v>561.73</v>
      </c>
      <c r="AR18" s="106">
        <f t="shared" si="38"/>
        <v>0</v>
      </c>
      <c r="AS18" s="106">
        <f t="shared" si="39"/>
        <v>0</v>
      </c>
      <c r="AT18" s="106">
        <f t="shared" si="40"/>
        <v>0</v>
      </c>
      <c r="AU18" s="106">
        <f t="shared" si="41"/>
        <v>0</v>
      </c>
      <c r="AV18" s="106">
        <f t="shared" si="42"/>
        <v>0</v>
      </c>
      <c r="AW18" t="b">
        <f t="shared" si="43"/>
        <v>1</v>
      </c>
      <c r="AX18" t="b">
        <f t="shared" si="44"/>
        <v>1</v>
      </c>
    </row>
    <row r="19" spans="1:50" x14ac:dyDescent="0.25">
      <c r="A19" s="1">
        <v>17</v>
      </c>
      <c r="B19" s="10">
        <v>40718</v>
      </c>
      <c r="C19" s="5">
        <v>6</v>
      </c>
      <c r="D19" s="13">
        <v>12</v>
      </c>
      <c r="E19" s="57" t="str">
        <f t="shared" si="0"/>
        <v>Routine Venipuncture</v>
      </c>
      <c r="F19" t="str">
        <f t="shared" si="1"/>
        <v>Diagnostic Services: Laboratory</v>
      </c>
      <c r="G19" t="str">
        <f t="shared" si="2"/>
        <v>Plan Deductible Only</v>
      </c>
      <c r="H19" s="109">
        <f t="shared" si="3"/>
        <v>4.17</v>
      </c>
      <c r="I19" s="109">
        <f t="shared" si="4"/>
        <v>0</v>
      </c>
      <c r="J19" s="109">
        <f t="shared" si="5"/>
        <v>4.17</v>
      </c>
      <c r="K19" s="5" t="str">
        <f t="shared" si="6"/>
        <v>None</v>
      </c>
      <c r="L19">
        <f t="shared" si="7"/>
        <v>0</v>
      </c>
      <c r="M19" s="3">
        <f t="shared" si="8"/>
        <v>0</v>
      </c>
      <c r="N19" s="5" t="str">
        <f t="shared" si="9"/>
        <v>None</v>
      </c>
      <c r="O19">
        <f t="shared" si="10"/>
        <v>1</v>
      </c>
      <c r="P19" s="3">
        <f t="shared" si="11"/>
        <v>0</v>
      </c>
      <c r="Q19" s="8">
        <f t="shared" si="12"/>
        <v>0</v>
      </c>
      <c r="R19" s="16">
        <f t="shared" si="13"/>
        <v>0</v>
      </c>
      <c r="S19" s="8">
        <f t="shared" si="14"/>
        <v>0</v>
      </c>
      <c r="T19" s="8">
        <f t="shared" si="15"/>
        <v>4.17</v>
      </c>
      <c r="U19" s="5" t="b">
        <f t="shared" si="16"/>
        <v>1</v>
      </c>
      <c r="V19" s="8">
        <f t="shared" si="17"/>
        <v>0</v>
      </c>
      <c r="W19" s="8">
        <f t="shared" si="18"/>
        <v>0</v>
      </c>
      <c r="X19" s="5" t="b">
        <f t="shared" si="19"/>
        <v>0</v>
      </c>
      <c r="Y19" s="8">
        <f t="shared" si="20"/>
        <v>0</v>
      </c>
      <c r="Z19" s="8">
        <f t="shared" si="21"/>
        <v>0</v>
      </c>
      <c r="AA19" s="5" t="b">
        <f t="shared" si="22"/>
        <v>0</v>
      </c>
      <c r="AB19" s="8">
        <f t="shared" si="23"/>
        <v>0</v>
      </c>
      <c r="AC19" s="8">
        <f t="shared" si="24"/>
        <v>0</v>
      </c>
      <c r="AD19" s="5" t="b">
        <f t="shared" si="25"/>
        <v>0</v>
      </c>
      <c r="AE19" s="8">
        <f t="shared" si="26"/>
        <v>0</v>
      </c>
      <c r="AF19" s="8">
        <f t="shared" si="27"/>
        <v>0</v>
      </c>
      <c r="AG19" s="5" t="b">
        <f t="shared" si="28"/>
        <v>0</v>
      </c>
      <c r="AH19" s="8">
        <f t="shared" si="29"/>
        <v>0</v>
      </c>
      <c r="AI19" s="8">
        <f t="shared" si="30"/>
        <v>0</v>
      </c>
      <c r="AJ19" s="24">
        <f t="shared" si="31"/>
        <v>0</v>
      </c>
      <c r="AK19" s="8">
        <f t="shared" si="32"/>
        <v>4.17</v>
      </c>
      <c r="AL19" s="8">
        <f t="shared" si="33"/>
        <v>0</v>
      </c>
      <c r="AM19" s="183" t="b">
        <f t="shared" si="34"/>
        <v>1</v>
      </c>
      <c r="AN19" s="8">
        <f t="shared" si="35"/>
        <v>0</v>
      </c>
      <c r="AO19" s="54">
        <f t="shared" si="36"/>
        <v>4000</v>
      </c>
      <c r="AP19" s="8">
        <f t="shared" si="37"/>
        <v>0</v>
      </c>
      <c r="AQ19" s="8">
        <f t="shared" si="45"/>
        <v>4.17</v>
      </c>
      <c r="AR19" s="106">
        <f t="shared" si="38"/>
        <v>0</v>
      </c>
      <c r="AS19" s="106">
        <f t="shared" si="39"/>
        <v>0</v>
      </c>
      <c r="AT19" s="106">
        <f t="shared" si="40"/>
        <v>0</v>
      </c>
      <c r="AU19" s="106">
        <f t="shared" si="41"/>
        <v>0</v>
      </c>
      <c r="AV19" s="106">
        <f t="shared" si="42"/>
        <v>0</v>
      </c>
      <c r="AW19" t="b">
        <f t="shared" si="43"/>
        <v>1</v>
      </c>
      <c r="AX19" t="b">
        <f t="shared" si="44"/>
        <v>1</v>
      </c>
    </row>
    <row r="20" spans="1:50" x14ac:dyDescent="0.25">
      <c r="A20" s="1">
        <v>18</v>
      </c>
      <c r="B20" s="10">
        <v>40718</v>
      </c>
      <c r="C20" s="5">
        <v>6</v>
      </c>
      <c r="D20" s="13">
        <v>32</v>
      </c>
      <c r="E20" s="57" t="str">
        <f t="shared" si="0"/>
        <v>Office/Outpatient Visit Est</v>
      </c>
      <c r="F20" t="str">
        <f t="shared" si="1"/>
        <v>Professional Services: Obstetric Care (Bundled)</v>
      </c>
      <c r="G20" t="str">
        <f t="shared" si="2"/>
        <v>Plan Deductible Only</v>
      </c>
      <c r="H20" s="109">
        <f t="shared" si="3"/>
        <v>0</v>
      </c>
      <c r="I20" s="109">
        <f t="shared" si="4"/>
        <v>0</v>
      </c>
      <c r="J20" s="109">
        <f t="shared" si="5"/>
        <v>0</v>
      </c>
      <c r="K20" s="5" t="str">
        <f t="shared" si="6"/>
        <v>None</v>
      </c>
      <c r="L20">
        <f t="shared" si="7"/>
        <v>0</v>
      </c>
      <c r="M20" s="3">
        <f t="shared" si="8"/>
        <v>0</v>
      </c>
      <c r="N20" s="5" t="str">
        <f t="shared" si="9"/>
        <v>None</v>
      </c>
      <c r="O20">
        <f t="shared" si="10"/>
        <v>2</v>
      </c>
      <c r="P20" s="3">
        <f t="shared" si="11"/>
        <v>0</v>
      </c>
      <c r="Q20" s="8">
        <f t="shared" si="12"/>
        <v>0</v>
      </c>
      <c r="R20" s="16">
        <f t="shared" si="13"/>
        <v>0</v>
      </c>
      <c r="S20" s="8">
        <f t="shared" si="14"/>
        <v>0</v>
      </c>
      <c r="T20" s="8">
        <f t="shared" si="15"/>
        <v>0</v>
      </c>
      <c r="U20" s="5" t="b">
        <f t="shared" si="16"/>
        <v>1</v>
      </c>
      <c r="V20" s="8">
        <f t="shared" si="17"/>
        <v>0</v>
      </c>
      <c r="W20" s="8">
        <f t="shared" si="18"/>
        <v>0</v>
      </c>
      <c r="X20" s="5" t="b">
        <f t="shared" si="19"/>
        <v>0</v>
      </c>
      <c r="Y20" s="8">
        <f t="shared" si="20"/>
        <v>0</v>
      </c>
      <c r="Z20" s="8">
        <f t="shared" si="21"/>
        <v>0</v>
      </c>
      <c r="AA20" s="5" t="b">
        <f t="shared" si="22"/>
        <v>0</v>
      </c>
      <c r="AB20" s="8">
        <f t="shared" si="23"/>
        <v>0</v>
      </c>
      <c r="AC20" s="8">
        <f t="shared" si="24"/>
        <v>0</v>
      </c>
      <c r="AD20" s="5" t="b">
        <f t="shared" si="25"/>
        <v>0</v>
      </c>
      <c r="AE20" s="8">
        <f t="shared" si="26"/>
        <v>0</v>
      </c>
      <c r="AF20" s="8">
        <f t="shared" si="27"/>
        <v>0</v>
      </c>
      <c r="AG20" s="5" t="b">
        <f t="shared" si="28"/>
        <v>0</v>
      </c>
      <c r="AH20" s="8">
        <f t="shared" si="29"/>
        <v>0</v>
      </c>
      <c r="AI20" s="8">
        <f t="shared" si="30"/>
        <v>0</v>
      </c>
      <c r="AJ20" s="24">
        <f t="shared" si="31"/>
        <v>0</v>
      </c>
      <c r="AK20" s="8">
        <f t="shared" si="32"/>
        <v>0</v>
      </c>
      <c r="AL20" s="8">
        <f t="shared" si="33"/>
        <v>0</v>
      </c>
      <c r="AM20" s="183" t="b">
        <f t="shared" si="34"/>
        <v>1</v>
      </c>
      <c r="AN20" s="8">
        <f t="shared" si="35"/>
        <v>0</v>
      </c>
      <c r="AO20" s="54">
        <f t="shared" si="36"/>
        <v>4000</v>
      </c>
      <c r="AP20" s="8">
        <f t="shared" si="37"/>
        <v>0</v>
      </c>
      <c r="AQ20" s="8">
        <f t="shared" si="45"/>
        <v>0</v>
      </c>
      <c r="AR20" s="106">
        <f t="shared" si="38"/>
        <v>0</v>
      </c>
      <c r="AS20" s="106">
        <f t="shared" si="39"/>
        <v>0</v>
      </c>
      <c r="AT20" s="106">
        <f t="shared" si="40"/>
        <v>0</v>
      </c>
      <c r="AU20" s="106">
        <f t="shared" si="41"/>
        <v>0</v>
      </c>
      <c r="AV20" s="106">
        <f t="shared" si="42"/>
        <v>0</v>
      </c>
      <c r="AW20" t="b">
        <f t="shared" si="43"/>
        <v>1</v>
      </c>
      <c r="AX20" t="b">
        <f t="shared" si="44"/>
        <v>1</v>
      </c>
    </row>
    <row r="21" spans="1:50" x14ac:dyDescent="0.25">
      <c r="A21" s="1">
        <v>19</v>
      </c>
      <c r="B21" s="10">
        <v>40730</v>
      </c>
      <c r="C21" s="5">
        <v>7</v>
      </c>
      <c r="D21" s="13">
        <v>8</v>
      </c>
      <c r="E21" s="57" t="str">
        <f t="shared" si="0"/>
        <v>Prenatal Vitamins (OTC - Bottle of 100) [1 pill daily; 30 pills/month]</v>
      </c>
      <c r="F21" t="str">
        <f t="shared" si="1"/>
        <v>Over-the-counter Drugs</v>
      </c>
      <c r="G21" t="str">
        <f t="shared" si="2"/>
        <v>Not Covered</v>
      </c>
      <c r="H21" s="109">
        <f t="shared" si="3"/>
        <v>12.205466666666666</v>
      </c>
      <c r="I21" s="109">
        <f t="shared" si="4"/>
        <v>12.205466666666666</v>
      </c>
      <c r="J21" s="109">
        <f t="shared" si="5"/>
        <v>0</v>
      </c>
      <c r="K21" s="5" t="str">
        <f t="shared" si="6"/>
        <v>None</v>
      </c>
      <c r="L21">
        <f t="shared" si="7"/>
        <v>0</v>
      </c>
      <c r="M21" s="3">
        <f t="shared" si="8"/>
        <v>0</v>
      </c>
      <c r="N21" s="5" t="str">
        <f t="shared" si="9"/>
        <v>None</v>
      </c>
      <c r="O21">
        <f t="shared" si="10"/>
        <v>2</v>
      </c>
      <c r="P21" s="3">
        <f t="shared" si="11"/>
        <v>0</v>
      </c>
      <c r="Q21" s="8">
        <f t="shared" si="12"/>
        <v>0</v>
      </c>
      <c r="R21" s="16">
        <f t="shared" si="13"/>
        <v>0</v>
      </c>
      <c r="S21" s="8">
        <f t="shared" si="14"/>
        <v>0</v>
      </c>
      <c r="T21" s="8">
        <f t="shared" si="15"/>
        <v>0</v>
      </c>
      <c r="U21" s="5" t="b">
        <f t="shared" si="16"/>
        <v>0</v>
      </c>
      <c r="V21" s="8">
        <f t="shared" si="17"/>
        <v>0</v>
      </c>
      <c r="W21" s="8">
        <f t="shared" si="18"/>
        <v>0</v>
      </c>
      <c r="X21" s="5" t="b">
        <f t="shared" si="19"/>
        <v>0</v>
      </c>
      <c r="Y21" s="8">
        <f t="shared" si="20"/>
        <v>0</v>
      </c>
      <c r="Z21" s="8">
        <f t="shared" si="21"/>
        <v>0</v>
      </c>
      <c r="AA21" s="5" t="b">
        <f t="shared" si="22"/>
        <v>0</v>
      </c>
      <c r="AB21" s="8">
        <f t="shared" si="23"/>
        <v>0</v>
      </c>
      <c r="AC21" s="8">
        <f t="shared" si="24"/>
        <v>0</v>
      </c>
      <c r="AD21" s="5" t="b">
        <f t="shared" si="25"/>
        <v>0</v>
      </c>
      <c r="AE21" s="8">
        <f t="shared" si="26"/>
        <v>0</v>
      </c>
      <c r="AF21" s="8">
        <f t="shared" si="27"/>
        <v>0</v>
      </c>
      <c r="AG21" s="5" t="b">
        <f t="shared" si="28"/>
        <v>0</v>
      </c>
      <c r="AH21" s="8">
        <f t="shared" si="29"/>
        <v>0</v>
      </c>
      <c r="AI21" s="8">
        <f t="shared" si="30"/>
        <v>0</v>
      </c>
      <c r="AJ21" s="24">
        <f t="shared" si="31"/>
        <v>0</v>
      </c>
      <c r="AK21" s="8">
        <f t="shared" si="32"/>
        <v>0</v>
      </c>
      <c r="AL21" s="8">
        <f t="shared" si="33"/>
        <v>0</v>
      </c>
      <c r="AM21" s="183" t="b">
        <f t="shared" si="34"/>
        <v>0</v>
      </c>
      <c r="AN21" s="8">
        <f t="shared" si="35"/>
        <v>0</v>
      </c>
      <c r="AO21" s="54">
        <f t="shared" si="36"/>
        <v>0</v>
      </c>
      <c r="AP21" s="8">
        <f t="shared" si="37"/>
        <v>0</v>
      </c>
      <c r="AQ21" s="8">
        <f t="shared" si="45"/>
        <v>0</v>
      </c>
      <c r="AR21" s="106">
        <f t="shared" si="38"/>
        <v>12.205466666666666</v>
      </c>
      <c r="AS21" s="106">
        <f t="shared" si="39"/>
        <v>0</v>
      </c>
      <c r="AT21" s="106">
        <f t="shared" si="40"/>
        <v>0</v>
      </c>
      <c r="AU21" s="106">
        <f t="shared" si="41"/>
        <v>0</v>
      </c>
      <c r="AV21" s="106">
        <f t="shared" si="42"/>
        <v>0</v>
      </c>
      <c r="AW21" t="b">
        <f t="shared" si="43"/>
        <v>1</v>
      </c>
      <c r="AX21" t="b">
        <f t="shared" si="44"/>
        <v>1</v>
      </c>
    </row>
    <row r="22" spans="1:50" x14ac:dyDescent="0.25">
      <c r="A22" s="1">
        <v>20</v>
      </c>
      <c r="B22" s="10">
        <v>40746</v>
      </c>
      <c r="C22" s="5">
        <v>7</v>
      </c>
      <c r="D22" s="13">
        <v>32</v>
      </c>
      <c r="E22" s="57" t="str">
        <f t="shared" si="0"/>
        <v>Office/Outpatient Visit Est</v>
      </c>
      <c r="F22" t="str">
        <f t="shared" si="1"/>
        <v>Professional Services: Obstetric Care (Bundled)</v>
      </c>
      <c r="G22" t="str">
        <f t="shared" si="2"/>
        <v>Plan Deductible Only</v>
      </c>
      <c r="H22" s="109">
        <f t="shared" si="3"/>
        <v>0</v>
      </c>
      <c r="I22" s="109">
        <f t="shared" si="4"/>
        <v>0</v>
      </c>
      <c r="J22" s="109">
        <f t="shared" si="5"/>
        <v>0</v>
      </c>
      <c r="K22" s="5" t="str">
        <f t="shared" si="6"/>
        <v>None</v>
      </c>
      <c r="L22">
        <f t="shared" si="7"/>
        <v>0</v>
      </c>
      <c r="M22" s="3">
        <f t="shared" si="8"/>
        <v>0</v>
      </c>
      <c r="N22" s="5" t="str">
        <f t="shared" si="9"/>
        <v>None</v>
      </c>
      <c r="O22">
        <f t="shared" si="10"/>
        <v>3</v>
      </c>
      <c r="P22" s="3">
        <f t="shared" si="11"/>
        <v>0</v>
      </c>
      <c r="Q22" s="8">
        <f t="shared" si="12"/>
        <v>0</v>
      </c>
      <c r="R22" s="16">
        <f t="shared" si="13"/>
        <v>0</v>
      </c>
      <c r="S22" s="8">
        <f t="shared" si="14"/>
        <v>0</v>
      </c>
      <c r="T22" s="8">
        <f t="shared" si="15"/>
        <v>0</v>
      </c>
      <c r="U22" s="5" t="b">
        <f t="shared" si="16"/>
        <v>1</v>
      </c>
      <c r="V22" s="8">
        <f t="shared" si="17"/>
        <v>0</v>
      </c>
      <c r="W22" s="8">
        <f t="shared" si="18"/>
        <v>0</v>
      </c>
      <c r="X22" s="5" t="b">
        <f t="shared" si="19"/>
        <v>0</v>
      </c>
      <c r="Y22" s="8">
        <f t="shared" si="20"/>
        <v>0</v>
      </c>
      <c r="Z22" s="8">
        <f t="shared" si="21"/>
        <v>0</v>
      </c>
      <c r="AA22" s="5" t="b">
        <f t="shared" si="22"/>
        <v>0</v>
      </c>
      <c r="AB22" s="8">
        <f t="shared" si="23"/>
        <v>0</v>
      </c>
      <c r="AC22" s="8">
        <f t="shared" si="24"/>
        <v>0</v>
      </c>
      <c r="AD22" s="5" t="b">
        <f t="shared" si="25"/>
        <v>0</v>
      </c>
      <c r="AE22" s="8">
        <f t="shared" si="26"/>
        <v>0</v>
      </c>
      <c r="AF22" s="8">
        <f t="shared" si="27"/>
        <v>0</v>
      </c>
      <c r="AG22" s="5" t="b">
        <f t="shared" si="28"/>
        <v>0</v>
      </c>
      <c r="AH22" s="8">
        <f t="shared" si="29"/>
        <v>0</v>
      </c>
      <c r="AI22" s="8">
        <f t="shared" si="30"/>
        <v>0</v>
      </c>
      <c r="AJ22" s="24">
        <f t="shared" si="31"/>
        <v>0</v>
      </c>
      <c r="AK22" s="8">
        <f t="shared" si="32"/>
        <v>0</v>
      </c>
      <c r="AL22" s="8">
        <f t="shared" si="33"/>
        <v>0</v>
      </c>
      <c r="AM22" s="183" t="b">
        <f t="shared" si="34"/>
        <v>1</v>
      </c>
      <c r="AN22" s="8">
        <f t="shared" si="35"/>
        <v>0</v>
      </c>
      <c r="AO22" s="54">
        <f t="shared" si="36"/>
        <v>4000</v>
      </c>
      <c r="AP22" s="8">
        <f t="shared" si="37"/>
        <v>0</v>
      </c>
      <c r="AQ22" s="8">
        <f t="shared" si="45"/>
        <v>0</v>
      </c>
      <c r="AR22" s="106">
        <f t="shared" si="38"/>
        <v>0</v>
      </c>
      <c r="AS22" s="106">
        <f t="shared" si="39"/>
        <v>0</v>
      </c>
      <c r="AT22" s="106">
        <f t="shared" si="40"/>
        <v>0</v>
      </c>
      <c r="AU22" s="106">
        <f t="shared" si="41"/>
        <v>0</v>
      </c>
      <c r="AV22" s="106">
        <f t="shared" si="42"/>
        <v>0</v>
      </c>
      <c r="AW22" t="b">
        <f t="shared" si="43"/>
        <v>1</v>
      </c>
      <c r="AX22" t="b">
        <f t="shared" si="44"/>
        <v>1</v>
      </c>
    </row>
    <row r="23" spans="1:50" x14ac:dyDescent="0.25">
      <c r="A23" s="1">
        <v>21</v>
      </c>
      <c r="B23" s="10">
        <v>40746</v>
      </c>
      <c r="C23" s="5">
        <v>7</v>
      </c>
      <c r="D23" s="13">
        <v>13</v>
      </c>
      <c r="E23" s="57" t="str">
        <f t="shared" si="0"/>
        <v>OB US &gt;/= 14 WKS SNGL FETUS</v>
      </c>
      <c r="F23" t="str">
        <f t="shared" si="1"/>
        <v>Diagnostic Services: Radiology</v>
      </c>
      <c r="G23" t="str">
        <f t="shared" si="2"/>
        <v>Plan Deductible Only</v>
      </c>
      <c r="H23" s="109">
        <f t="shared" si="3"/>
        <v>163.99</v>
      </c>
      <c r="I23" s="109">
        <f t="shared" si="4"/>
        <v>0</v>
      </c>
      <c r="J23" s="109">
        <f t="shared" si="5"/>
        <v>163.99</v>
      </c>
      <c r="K23" s="5" t="str">
        <f t="shared" si="6"/>
        <v>None</v>
      </c>
      <c r="L23">
        <f t="shared" si="7"/>
        <v>0</v>
      </c>
      <c r="M23" s="3">
        <f t="shared" si="8"/>
        <v>0</v>
      </c>
      <c r="N23" s="5" t="str">
        <f t="shared" si="9"/>
        <v>None</v>
      </c>
      <c r="O23">
        <f t="shared" si="10"/>
        <v>0</v>
      </c>
      <c r="P23" s="3">
        <f t="shared" si="11"/>
        <v>0</v>
      </c>
      <c r="Q23" s="8">
        <f t="shared" si="12"/>
        <v>0</v>
      </c>
      <c r="R23" s="16">
        <f t="shared" si="13"/>
        <v>0</v>
      </c>
      <c r="S23" s="8">
        <f t="shared" si="14"/>
        <v>0</v>
      </c>
      <c r="T23" s="8">
        <f t="shared" si="15"/>
        <v>163.99</v>
      </c>
      <c r="U23" s="5" t="b">
        <f t="shared" si="16"/>
        <v>1</v>
      </c>
      <c r="V23" s="8">
        <f t="shared" si="17"/>
        <v>0</v>
      </c>
      <c r="W23" s="8">
        <f t="shared" si="18"/>
        <v>0</v>
      </c>
      <c r="X23" s="5" t="b">
        <f t="shared" si="19"/>
        <v>0</v>
      </c>
      <c r="Y23" s="8">
        <f t="shared" si="20"/>
        <v>0</v>
      </c>
      <c r="Z23" s="8">
        <f t="shared" si="21"/>
        <v>0</v>
      </c>
      <c r="AA23" s="5" t="b">
        <f t="shared" si="22"/>
        <v>0</v>
      </c>
      <c r="AB23" s="8">
        <f t="shared" si="23"/>
        <v>0</v>
      </c>
      <c r="AC23" s="8">
        <f t="shared" si="24"/>
        <v>0</v>
      </c>
      <c r="AD23" s="5" t="b">
        <f t="shared" si="25"/>
        <v>0</v>
      </c>
      <c r="AE23" s="8">
        <f t="shared" si="26"/>
        <v>0</v>
      </c>
      <c r="AF23" s="8">
        <f t="shared" si="27"/>
        <v>0</v>
      </c>
      <c r="AG23" s="5" t="b">
        <f t="shared" si="28"/>
        <v>0</v>
      </c>
      <c r="AH23" s="8">
        <f t="shared" si="29"/>
        <v>0</v>
      </c>
      <c r="AI23" s="8">
        <f t="shared" si="30"/>
        <v>0</v>
      </c>
      <c r="AJ23" s="24">
        <f t="shared" si="31"/>
        <v>0</v>
      </c>
      <c r="AK23" s="8">
        <f t="shared" si="32"/>
        <v>163.99</v>
      </c>
      <c r="AL23" s="8">
        <f t="shared" si="33"/>
        <v>0</v>
      </c>
      <c r="AM23" s="183" t="b">
        <f t="shared" si="34"/>
        <v>1</v>
      </c>
      <c r="AN23" s="8">
        <f t="shared" si="35"/>
        <v>0</v>
      </c>
      <c r="AO23" s="54">
        <f t="shared" si="36"/>
        <v>4000</v>
      </c>
      <c r="AP23" s="8">
        <f t="shared" si="37"/>
        <v>0</v>
      </c>
      <c r="AQ23" s="8">
        <f t="shared" si="45"/>
        <v>163.99</v>
      </c>
      <c r="AR23" s="106">
        <f t="shared" si="38"/>
        <v>0</v>
      </c>
      <c r="AS23" s="106">
        <f t="shared" si="39"/>
        <v>0</v>
      </c>
      <c r="AT23" s="106">
        <f t="shared" si="40"/>
        <v>0</v>
      </c>
      <c r="AU23" s="106">
        <f t="shared" si="41"/>
        <v>0</v>
      </c>
      <c r="AV23" s="106">
        <f t="shared" si="42"/>
        <v>0</v>
      </c>
      <c r="AW23" t="b">
        <f t="shared" si="43"/>
        <v>1</v>
      </c>
      <c r="AX23" t="b">
        <f t="shared" si="44"/>
        <v>1</v>
      </c>
    </row>
    <row r="24" spans="1:50" x14ac:dyDescent="0.25">
      <c r="A24" s="1">
        <v>22</v>
      </c>
      <c r="B24" s="10">
        <v>40774</v>
      </c>
      <c r="C24" s="5">
        <v>8</v>
      </c>
      <c r="D24" s="13">
        <v>32</v>
      </c>
      <c r="E24" s="57" t="str">
        <f t="shared" si="0"/>
        <v>Office/Outpatient Visit Est</v>
      </c>
      <c r="F24" t="str">
        <f t="shared" si="1"/>
        <v>Professional Services: Obstetric Care (Bundled)</v>
      </c>
      <c r="G24" t="str">
        <f t="shared" si="2"/>
        <v>Plan Deductible Only</v>
      </c>
      <c r="H24" s="109">
        <f t="shared" si="3"/>
        <v>0</v>
      </c>
      <c r="I24" s="109">
        <f t="shared" si="4"/>
        <v>0</v>
      </c>
      <c r="J24" s="109">
        <f t="shared" si="5"/>
        <v>0</v>
      </c>
      <c r="K24" s="5" t="str">
        <f t="shared" si="6"/>
        <v>None</v>
      </c>
      <c r="L24">
        <f t="shared" si="7"/>
        <v>0</v>
      </c>
      <c r="M24" s="3">
        <f t="shared" si="8"/>
        <v>0</v>
      </c>
      <c r="N24" s="5" t="str">
        <f t="shared" si="9"/>
        <v>None</v>
      </c>
      <c r="O24">
        <f t="shared" si="10"/>
        <v>4</v>
      </c>
      <c r="P24" s="3">
        <f t="shared" si="11"/>
        <v>0</v>
      </c>
      <c r="Q24" s="8">
        <f t="shared" si="12"/>
        <v>0</v>
      </c>
      <c r="R24" s="16">
        <f t="shared" si="13"/>
        <v>0</v>
      </c>
      <c r="S24" s="8">
        <f t="shared" si="14"/>
        <v>0</v>
      </c>
      <c r="T24" s="8">
        <f t="shared" si="15"/>
        <v>0</v>
      </c>
      <c r="U24" s="5" t="b">
        <f t="shared" si="16"/>
        <v>1</v>
      </c>
      <c r="V24" s="8">
        <f t="shared" si="17"/>
        <v>0</v>
      </c>
      <c r="W24" s="8">
        <f t="shared" si="18"/>
        <v>0</v>
      </c>
      <c r="X24" s="5" t="b">
        <f t="shared" si="19"/>
        <v>0</v>
      </c>
      <c r="Y24" s="8">
        <f t="shared" si="20"/>
        <v>0</v>
      </c>
      <c r="Z24" s="8">
        <f t="shared" si="21"/>
        <v>0</v>
      </c>
      <c r="AA24" s="5" t="b">
        <f t="shared" si="22"/>
        <v>0</v>
      </c>
      <c r="AB24" s="8">
        <f t="shared" si="23"/>
        <v>0</v>
      </c>
      <c r="AC24" s="8">
        <f t="shared" si="24"/>
        <v>0</v>
      </c>
      <c r="AD24" s="5" t="b">
        <f t="shared" si="25"/>
        <v>0</v>
      </c>
      <c r="AE24" s="8">
        <f t="shared" si="26"/>
        <v>0</v>
      </c>
      <c r="AF24" s="8">
        <f t="shared" si="27"/>
        <v>0</v>
      </c>
      <c r="AG24" s="5" t="b">
        <f t="shared" si="28"/>
        <v>0</v>
      </c>
      <c r="AH24" s="8">
        <f t="shared" si="29"/>
        <v>0</v>
      </c>
      <c r="AI24" s="8">
        <f t="shared" si="30"/>
        <v>0</v>
      </c>
      <c r="AJ24" s="24">
        <f t="shared" si="31"/>
        <v>0</v>
      </c>
      <c r="AK24" s="8">
        <f t="shared" si="32"/>
        <v>0</v>
      </c>
      <c r="AL24" s="8">
        <f t="shared" si="33"/>
        <v>0</v>
      </c>
      <c r="AM24" s="183" t="b">
        <f t="shared" si="34"/>
        <v>1</v>
      </c>
      <c r="AN24" s="8">
        <f t="shared" si="35"/>
        <v>0</v>
      </c>
      <c r="AO24" s="54">
        <f t="shared" si="36"/>
        <v>4000</v>
      </c>
      <c r="AP24" s="8">
        <f t="shared" si="37"/>
        <v>0</v>
      </c>
      <c r="AQ24" s="8">
        <f t="shared" si="45"/>
        <v>0</v>
      </c>
      <c r="AR24" s="106">
        <f t="shared" si="38"/>
        <v>0</v>
      </c>
      <c r="AS24" s="106">
        <f t="shared" si="39"/>
        <v>0</v>
      </c>
      <c r="AT24" s="106">
        <f t="shared" si="40"/>
        <v>0</v>
      </c>
      <c r="AU24" s="106">
        <f t="shared" si="41"/>
        <v>0</v>
      </c>
      <c r="AV24" s="106">
        <f t="shared" si="42"/>
        <v>0</v>
      </c>
      <c r="AW24" t="b">
        <f t="shared" si="43"/>
        <v>1</v>
      </c>
      <c r="AX24" t="b">
        <f t="shared" si="44"/>
        <v>1</v>
      </c>
    </row>
    <row r="25" spans="1:50" x14ac:dyDescent="0.25">
      <c r="A25" s="1">
        <v>23</v>
      </c>
      <c r="B25" s="10">
        <v>40802</v>
      </c>
      <c r="C25" s="5">
        <v>9</v>
      </c>
      <c r="D25" s="13">
        <v>17</v>
      </c>
      <c r="E25" s="57" t="str">
        <f t="shared" si="0"/>
        <v>Assay Glucose Blood Quant</v>
      </c>
      <c r="F25" t="str">
        <f t="shared" si="1"/>
        <v>Diagnostic Services: Laboratory</v>
      </c>
      <c r="G25" t="str">
        <f t="shared" si="2"/>
        <v>Plan Deductible Only</v>
      </c>
      <c r="H25" s="109">
        <f t="shared" si="3"/>
        <v>5.73</v>
      </c>
      <c r="I25" s="109">
        <f t="shared" si="4"/>
        <v>0</v>
      </c>
      <c r="J25" s="109">
        <f t="shared" si="5"/>
        <v>5.73</v>
      </c>
      <c r="K25" s="5" t="str">
        <f t="shared" si="6"/>
        <v>None</v>
      </c>
      <c r="L25">
        <f t="shared" si="7"/>
        <v>0</v>
      </c>
      <c r="M25" s="3">
        <f t="shared" si="8"/>
        <v>0</v>
      </c>
      <c r="N25" s="5" t="str">
        <f t="shared" si="9"/>
        <v>None</v>
      </c>
      <c r="O25">
        <f t="shared" si="10"/>
        <v>0</v>
      </c>
      <c r="P25" s="3">
        <f t="shared" si="11"/>
        <v>0</v>
      </c>
      <c r="Q25" s="8">
        <f t="shared" si="12"/>
        <v>0</v>
      </c>
      <c r="R25" s="16">
        <f t="shared" si="13"/>
        <v>0</v>
      </c>
      <c r="S25" s="8">
        <f t="shared" si="14"/>
        <v>0</v>
      </c>
      <c r="T25" s="8">
        <f t="shared" si="15"/>
        <v>5.73</v>
      </c>
      <c r="U25" s="5" t="b">
        <f t="shared" si="16"/>
        <v>1</v>
      </c>
      <c r="V25" s="8">
        <f t="shared" si="17"/>
        <v>0</v>
      </c>
      <c r="W25" s="8">
        <f t="shared" si="18"/>
        <v>0</v>
      </c>
      <c r="X25" s="5" t="b">
        <f t="shared" si="19"/>
        <v>0</v>
      </c>
      <c r="Y25" s="8">
        <f t="shared" si="20"/>
        <v>0</v>
      </c>
      <c r="Z25" s="8">
        <f t="shared" si="21"/>
        <v>0</v>
      </c>
      <c r="AA25" s="5" t="b">
        <f t="shared" si="22"/>
        <v>0</v>
      </c>
      <c r="AB25" s="8">
        <f t="shared" si="23"/>
        <v>0</v>
      </c>
      <c r="AC25" s="8">
        <f t="shared" si="24"/>
        <v>0</v>
      </c>
      <c r="AD25" s="5" t="b">
        <f t="shared" si="25"/>
        <v>0</v>
      </c>
      <c r="AE25" s="8">
        <f t="shared" si="26"/>
        <v>0</v>
      </c>
      <c r="AF25" s="8">
        <f t="shared" si="27"/>
        <v>0</v>
      </c>
      <c r="AG25" s="5" t="b">
        <f t="shared" si="28"/>
        <v>0</v>
      </c>
      <c r="AH25" s="8">
        <f t="shared" si="29"/>
        <v>0</v>
      </c>
      <c r="AI25" s="8">
        <f t="shared" si="30"/>
        <v>0</v>
      </c>
      <c r="AJ25" s="24">
        <f t="shared" si="31"/>
        <v>0</v>
      </c>
      <c r="AK25" s="8">
        <f t="shared" si="32"/>
        <v>5.73</v>
      </c>
      <c r="AL25" s="8">
        <f t="shared" si="33"/>
        <v>0</v>
      </c>
      <c r="AM25" s="183" t="b">
        <f t="shared" si="34"/>
        <v>1</v>
      </c>
      <c r="AN25" s="8">
        <f t="shared" si="35"/>
        <v>0</v>
      </c>
      <c r="AO25" s="54">
        <f t="shared" si="36"/>
        <v>4000</v>
      </c>
      <c r="AP25" s="8">
        <f t="shared" si="37"/>
        <v>0</v>
      </c>
      <c r="AQ25" s="8">
        <f t="shared" si="45"/>
        <v>5.73</v>
      </c>
      <c r="AR25" s="106">
        <f t="shared" si="38"/>
        <v>0</v>
      </c>
      <c r="AS25" s="106">
        <f t="shared" si="39"/>
        <v>0</v>
      </c>
      <c r="AT25" s="106">
        <f t="shared" si="40"/>
        <v>0</v>
      </c>
      <c r="AU25" s="106">
        <f t="shared" si="41"/>
        <v>0</v>
      </c>
      <c r="AV25" s="106">
        <f t="shared" si="42"/>
        <v>0</v>
      </c>
      <c r="AW25" t="b">
        <f t="shared" si="43"/>
        <v>1</v>
      </c>
      <c r="AX25" t="b">
        <f t="shared" si="44"/>
        <v>1</v>
      </c>
    </row>
    <row r="26" spans="1:50" x14ac:dyDescent="0.25">
      <c r="A26" s="1">
        <v>24</v>
      </c>
      <c r="B26" s="10">
        <v>40802</v>
      </c>
      <c r="C26" s="5">
        <v>9</v>
      </c>
      <c r="D26" s="13">
        <v>26</v>
      </c>
      <c r="E26" s="57" t="str">
        <f t="shared" si="0"/>
        <v>Complete cbc w/auto diff wbc</v>
      </c>
      <c r="F26" t="str">
        <f t="shared" si="1"/>
        <v>Diagnostic Services: Laboratory</v>
      </c>
      <c r="G26" t="str">
        <f t="shared" si="2"/>
        <v>Plan Deductible Only</v>
      </c>
      <c r="H26" s="109">
        <f t="shared" si="3"/>
        <v>11.14</v>
      </c>
      <c r="I26" s="109">
        <f t="shared" si="4"/>
        <v>0</v>
      </c>
      <c r="J26" s="109">
        <f t="shared" si="5"/>
        <v>11.14</v>
      </c>
      <c r="K26" s="5" t="str">
        <f t="shared" si="6"/>
        <v>None</v>
      </c>
      <c r="L26">
        <f t="shared" si="7"/>
        <v>0</v>
      </c>
      <c r="M26" s="3">
        <f t="shared" si="8"/>
        <v>0</v>
      </c>
      <c r="N26" s="5" t="str">
        <f t="shared" si="9"/>
        <v>None</v>
      </c>
      <c r="O26">
        <f t="shared" si="10"/>
        <v>0</v>
      </c>
      <c r="P26" s="3">
        <f t="shared" si="11"/>
        <v>0</v>
      </c>
      <c r="Q26" s="8">
        <f t="shared" si="12"/>
        <v>0</v>
      </c>
      <c r="R26" s="16">
        <f t="shared" si="13"/>
        <v>0</v>
      </c>
      <c r="S26" s="8">
        <f t="shared" si="14"/>
        <v>0</v>
      </c>
      <c r="T26" s="8">
        <f t="shared" si="15"/>
        <v>11.14</v>
      </c>
      <c r="U26" s="5" t="b">
        <f t="shared" si="16"/>
        <v>1</v>
      </c>
      <c r="V26" s="8">
        <f t="shared" si="17"/>
        <v>0</v>
      </c>
      <c r="W26" s="8">
        <f t="shared" si="18"/>
        <v>0</v>
      </c>
      <c r="X26" s="5" t="b">
        <f t="shared" si="19"/>
        <v>0</v>
      </c>
      <c r="Y26" s="8">
        <f t="shared" si="20"/>
        <v>0</v>
      </c>
      <c r="Z26" s="8">
        <f t="shared" si="21"/>
        <v>0</v>
      </c>
      <c r="AA26" s="5" t="b">
        <f t="shared" si="22"/>
        <v>0</v>
      </c>
      <c r="AB26" s="8">
        <f t="shared" si="23"/>
        <v>0</v>
      </c>
      <c r="AC26" s="8">
        <f t="shared" si="24"/>
        <v>0</v>
      </c>
      <c r="AD26" s="5" t="b">
        <f t="shared" si="25"/>
        <v>0</v>
      </c>
      <c r="AE26" s="8">
        <f t="shared" si="26"/>
        <v>0</v>
      </c>
      <c r="AF26" s="8">
        <f t="shared" si="27"/>
        <v>0</v>
      </c>
      <c r="AG26" s="5" t="b">
        <f t="shared" si="28"/>
        <v>0</v>
      </c>
      <c r="AH26" s="8">
        <f t="shared" si="29"/>
        <v>0</v>
      </c>
      <c r="AI26" s="8">
        <f t="shared" si="30"/>
        <v>0</v>
      </c>
      <c r="AJ26" s="24">
        <f t="shared" si="31"/>
        <v>0</v>
      </c>
      <c r="AK26" s="8">
        <f t="shared" si="32"/>
        <v>11.14</v>
      </c>
      <c r="AL26" s="8">
        <f t="shared" si="33"/>
        <v>0</v>
      </c>
      <c r="AM26" s="183" t="b">
        <f t="shared" si="34"/>
        <v>1</v>
      </c>
      <c r="AN26" s="8">
        <f t="shared" si="35"/>
        <v>0</v>
      </c>
      <c r="AO26" s="54">
        <f t="shared" si="36"/>
        <v>4000</v>
      </c>
      <c r="AP26" s="8">
        <f t="shared" si="37"/>
        <v>0</v>
      </c>
      <c r="AQ26" s="8">
        <f t="shared" si="45"/>
        <v>11.14</v>
      </c>
      <c r="AR26" s="106">
        <f t="shared" si="38"/>
        <v>0</v>
      </c>
      <c r="AS26" s="106">
        <f t="shared" si="39"/>
        <v>0</v>
      </c>
      <c r="AT26" s="106">
        <f t="shared" si="40"/>
        <v>0</v>
      </c>
      <c r="AU26" s="106">
        <f t="shared" si="41"/>
        <v>0</v>
      </c>
      <c r="AV26" s="106">
        <f t="shared" si="42"/>
        <v>0</v>
      </c>
      <c r="AW26" t="b">
        <f t="shared" si="43"/>
        <v>1</v>
      </c>
      <c r="AX26" t="b">
        <f t="shared" si="44"/>
        <v>1</v>
      </c>
    </row>
    <row r="27" spans="1:50" x14ac:dyDescent="0.25">
      <c r="A27" s="1">
        <v>25</v>
      </c>
      <c r="B27" s="10">
        <v>40802</v>
      </c>
      <c r="C27" s="5">
        <v>9</v>
      </c>
      <c r="D27" s="13">
        <v>18</v>
      </c>
      <c r="E27" s="57" t="str">
        <f t="shared" si="0"/>
        <v>Glucose Test</v>
      </c>
      <c r="F27" t="str">
        <f t="shared" si="1"/>
        <v>Diagnostic Services: Laboratory</v>
      </c>
      <c r="G27" t="str">
        <f t="shared" si="2"/>
        <v>Plan Deductible Only</v>
      </c>
      <c r="H27" s="109">
        <f t="shared" si="3"/>
        <v>5.14</v>
      </c>
      <c r="I27" s="109">
        <f t="shared" si="4"/>
        <v>0</v>
      </c>
      <c r="J27" s="109">
        <f t="shared" si="5"/>
        <v>5.14</v>
      </c>
      <c r="K27" s="5" t="str">
        <f t="shared" si="6"/>
        <v>None</v>
      </c>
      <c r="L27">
        <f t="shared" si="7"/>
        <v>0</v>
      </c>
      <c r="M27" s="3">
        <f t="shared" si="8"/>
        <v>0</v>
      </c>
      <c r="N27" s="5" t="str">
        <f t="shared" si="9"/>
        <v>None</v>
      </c>
      <c r="O27">
        <f t="shared" si="10"/>
        <v>0</v>
      </c>
      <c r="P27" s="3">
        <f t="shared" si="11"/>
        <v>0</v>
      </c>
      <c r="Q27" s="8">
        <f t="shared" si="12"/>
        <v>0</v>
      </c>
      <c r="R27" s="16">
        <f t="shared" si="13"/>
        <v>0</v>
      </c>
      <c r="S27" s="8">
        <f t="shared" si="14"/>
        <v>0</v>
      </c>
      <c r="T27" s="8">
        <f t="shared" si="15"/>
        <v>5.14</v>
      </c>
      <c r="U27" s="5" t="b">
        <f t="shared" si="16"/>
        <v>1</v>
      </c>
      <c r="V27" s="8">
        <f t="shared" si="17"/>
        <v>0</v>
      </c>
      <c r="W27" s="8">
        <f t="shared" si="18"/>
        <v>0</v>
      </c>
      <c r="X27" s="5" t="b">
        <f t="shared" si="19"/>
        <v>0</v>
      </c>
      <c r="Y27" s="8">
        <f t="shared" si="20"/>
        <v>0</v>
      </c>
      <c r="Z27" s="8">
        <f t="shared" si="21"/>
        <v>0</v>
      </c>
      <c r="AA27" s="5" t="b">
        <f t="shared" si="22"/>
        <v>0</v>
      </c>
      <c r="AB27" s="8">
        <f t="shared" si="23"/>
        <v>0</v>
      </c>
      <c r="AC27" s="8">
        <f t="shared" si="24"/>
        <v>0</v>
      </c>
      <c r="AD27" s="5" t="b">
        <f t="shared" si="25"/>
        <v>0</v>
      </c>
      <c r="AE27" s="8">
        <f t="shared" si="26"/>
        <v>0</v>
      </c>
      <c r="AF27" s="8">
        <f t="shared" si="27"/>
        <v>0</v>
      </c>
      <c r="AG27" s="5" t="b">
        <f t="shared" si="28"/>
        <v>0</v>
      </c>
      <c r="AH27" s="8">
        <f t="shared" si="29"/>
        <v>0</v>
      </c>
      <c r="AI27" s="8">
        <f t="shared" si="30"/>
        <v>0</v>
      </c>
      <c r="AJ27" s="24">
        <f t="shared" si="31"/>
        <v>0</v>
      </c>
      <c r="AK27" s="8">
        <f t="shared" si="32"/>
        <v>5.14</v>
      </c>
      <c r="AL27" s="8">
        <f t="shared" si="33"/>
        <v>0</v>
      </c>
      <c r="AM27" s="183" t="b">
        <f t="shared" si="34"/>
        <v>1</v>
      </c>
      <c r="AN27" s="8">
        <f t="shared" si="35"/>
        <v>0</v>
      </c>
      <c r="AO27" s="54">
        <f t="shared" si="36"/>
        <v>4000</v>
      </c>
      <c r="AP27" s="8">
        <f t="shared" si="37"/>
        <v>0</v>
      </c>
      <c r="AQ27" s="8">
        <f t="shared" si="45"/>
        <v>5.14</v>
      </c>
      <c r="AR27" s="106">
        <f t="shared" si="38"/>
        <v>0</v>
      </c>
      <c r="AS27" s="106">
        <f t="shared" si="39"/>
        <v>0</v>
      </c>
      <c r="AT27" s="106">
        <f t="shared" si="40"/>
        <v>0</v>
      </c>
      <c r="AU27" s="106">
        <f t="shared" si="41"/>
        <v>0</v>
      </c>
      <c r="AV27" s="106">
        <f t="shared" si="42"/>
        <v>0</v>
      </c>
      <c r="AW27" t="b">
        <f t="shared" si="43"/>
        <v>1</v>
      </c>
      <c r="AX27" t="b">
        <f t="shared" si="44"/>
        <v>1</v>
      </c>
    </row>
    <row r="28" spans="1:50" x14ac:dyDescent="0.25">
      <c r="A28" s="1">
        <v>26</v>
      </c>
      <c r="B28" s="10">
        <v>40802</v>
      </c>
      <c r="C28" s="5">
        <v>9</v>
      </c>
      <c r="D28" s="13">
        <v>12</v>
      </c>
      <c r="E28" s="57" t="str">
        <f t="shared" si="0"/>
        <v>Routine Venipuncture</v>
      </c>
      <c r="F28" t="str">
        <f t="shared" si="1"/>
        <v>Diagnostic Services: Laboratory</v>
      </c>
      <c r="G28" t="str">
        <f t="shared" si="2"/>
        <v>Plan Deductible Only</v>
      </c>
      <c r="H28" s="109">
        <f t="shared" si="3"/>
        <v>4.17</v>
      </c>
      <c r="I28" s="109">
        <f t="shared" si="4"/>
        <v>0</v>
      </c>
      <c r="J28" s="109">
        <f t="shared" si="5"/>
        <v>4.17</v>
      </c>
      <c r="K28" s="5" t="str">
        <f t="shared" si="6"/>
        <v>None</v>
      </c>
      <c r="L28">
        <f t="shared" si="7"/>
        <v>0</v>
      </c>
      <c r="M28" s="3">
        <f t="shared" si="8"/>
        <v>0</v>
      </c>
      <c r="N28" s="5" t="str">
        <f t="shared" si="9"/>
        <v>None</v>
      </c>
      <c r="O28">
        <f t="shared" si="10"/>
        <v>2</v>
      </c>
      <c r="P28" s="3">
        <f t="shared" si="11"/>
        <v>0</v>
      </c>
      <c r="Q28" s="8">
        <f t="shared" si="12"/>
        <v>0</v>
      </c>
      <c r="R28" s="16">
        <f t="shared" si="13"/>
        <v>0</v>
      </c>
      <c r="S28" s="8">
        <f t="shared" si="14"/>
        <v>0</v>
      </c>
      <c r="T28" s="8">
        <f t="shared" si="15"/>
        <v>4.17</v>
      </c>
      <c r="U28" s="5" t="b">
        <f t="shared" si="16"/>
        <v>1</v>
      </c>
      <c r="V28" s="8">
        <f t="shared" si="17"/>
        <v>0</v>
      </c>
      <c r="W28" s="8">
        <f t="shared" si="18"/>
        <v>0</v>
      </c>
      <c r="X28" s="5" t="b">
        <f t="shared" si="19"/>
        <v>0</v>
      </c>
      <c r="Y28" s="8">
        <f t="shared" si="20"/>
        <v>0</v>
      </c>
      <c r="Z28" s="8">
        <f t="shared" si="21"/>
        <v>0</v>
      </c>
      <c r="AA28" s="5" t="b">
        <f t="shared" si="22"/>
        <v>0</v>
      </c>
      <c r="AB28" s="8">
        <f t="shared" si="23"/>
        <v>0</v>
      </c>
      <c r="AC28" s="8">
        <f t="shared" si="24"/>
        <v>0</v>
      </c>
      <c r="AD28" s="5" t="b">
        <f t="shared" si="25"/>
        <v>0</v>
      </c>
      <c r="AE28" s="8">
        <f t="shared" si="26"/>
        <v>0</v>
      </c>
      <c r="AF28" s="8">
        <f t="shared" si="27"/>
        <v>0</v>
      </c>
      <c r="AG28" s="5" t="b">
        <f t="shared" si="28"/>
        <v>0</v>
      </c>
      <c r="AH28" s="8">
        <f t="shared" si="29"/>
        <v>0</v>
      </c>
      <c r="AI28" s="8">
        <f t="shared" si="30"/>
        <v>0</v>
      </c>
      <c r="AJ28" s="24">
        <f t="shared" si="31"/>
        <v>0</v>
      </c>
      <c r="AK28" s="8">
        <f t="shared" si="32"/>
        <v>4.17</v>
      </c>
      <c r="AL28" s="8">
        <f t="shared" si="33"/>
        <v>0</v>
      </c>
      <c r="AM28" s="183" t="b">
        <f t="shared" si="34"/>
        <v>1</v>
      </c>
      <c r="AN28" s="8">
        <f t="shared" si="35"/>
        <v>0</v>
      </c>
      <c r="AO28" s="54">
        <f t="shared" si="36"/>
        <v>4000</v>
      </c>
      <c r="AP28" s="8">
        <f t="shared" si="37"/>
        <v>0</v>
      </c>
      <c r="AQ28" s="8">
        <f t="shared" si="45"/>
        <v>4.17</v>
      </c>
      <c r="AR28" s="106">
        <f t="shared" si="38"/>
        <v>0</v>
      </c>
      <c r="AS28" s="106">
        <f t="shared" si="39"/>
        <v>0</v>
      </c>
      <c r="AT28" s="106">
        <f t="shared" si="40"/>
        <v>0</v>
      </c>
      <c r="AU28" s="106">
        <f t="shared" si="41"/>
        <v>0</v>
      </c>
      <c r="AV28" s="106">
        <f t="shared" si="42"/>
        <v>0</v>
      </c>
      <c r="AW28" t="b">
        <f t="shared" si="43"/>
        <v>1</v>
      </c>
      <c r="AX28" t="b">
        <f t="shared" si="44"/>
        <v>1</v>
      </c>
    </row>
    <row r="29" spans="1:50" x14ac:dyDescent="0.25">
      <c r="A29" s="1">
        <v>27</v>
      </c>
      <c r="B29" s="10">
        <v>40802</v>
      </c>
      <c r="C29" s="5">
        <v>9</v>
      </c>
      <c r="D29" s="13">
        <v>32</v>
      </c>
      <c r="E29" s="57" t="str">
        <f t="shared" si="0"/>
        <v>Office/Outpatient Visit Est</v>
      </c>
      <c r="F29" t="str">
        <f t="shared" si="1"/>
        <v>Professional Services: Obstetric Care (Bundled)</v>
      </c>
      <c r="G29" t="str">
        <f t="shared" si="2"/>
        <v>Plan Deductible Only</v>
      </c>
      <c r="H29" s="109">
        <f t="shared" si="3"/>
        <v>0</v>
      </c>
      <c r="I29" s="109">
        <f t="shared" si="4"/>
        <v>0</v>
      </c>
      <c r="J29" s="109">
        <f t="shared" si="5"/>
        <v>0</v>
      </c>
      <c r="K29" s="5" t="str">
        <f t="shared" si="6"/>
        <v>None</v>
      </c>
      <c r="L29">
        <f t="shared" si="7"/>
        <v>0</v>
      </c>
      <c r="M29" s="3">
        <f t="shared" si="8"/>
        <v>0</v>
      </c>
      <c r="N29" s="5" t="str">
        <f t="shared" si="9"/>
        <v>None</v>
      </c>
      <c r="O29">
        <f t="shared" si="10"/>
        <v>5</v>
      </c>
      <c r="P29" s="3">
        <f t="shared" si="11"/>
        <v>0</v>
      </c>
      <c r="Q29" s="8">
        <f t="shared" si="12"/>
        <v>0</v>
      </c>
      <c r="R29" s="16">
        <f t="shared" si="13"/>
        <v>0</v>
      </c>
      <c r="S29" s="8">
        <f t="shared" si="14"/>
        <v>0</v>
      </c>
      <c r="T29" s="8">
        <f t="shared" si="15"/>
        <v>0</v>
      </c>
      <c r="U29" s="5" t="b">
        <f t="shared" si="16"/>
        <v>1</v>
      </c>
      <c r="V29" s="8">
        <f t="shared" si="17"/>
        <v>0</v>
      </c>
      <c r="W29" s="8">
        <f t="shared" si="18"/>
        <v>0</v>
      </c>
      <c r="X29" s="5" t="b">
        <f t="shared" si="19"/>
        <v>0</v>
      </c>
      <c r="Y29" s="8">
        <f t="shared" si="20"/>
        <v>0</v>
      </c>
      <c r="Z29" s="8">
        <f t="shared" si="21"/>
        <v>0</v>
      </c>
      <c r="AA29" s="5" t="b">
        <f t="shared" si="22"/>
        <v>0</v>
      </c>
      <c r="AB29" s="8">
        <f t="shared" si="23"/>
        <v>0</v>
      </c>
      <c r="AC29" s="8">
        <f t="shared" si="24"/>
        <v>0</v>
      </c>
      <c r="AD29" s="5" t="b">
        <f t="shared" si="25"/>
        <v>0</v>
      </c>
      <c r="AE29" s="8">
        <f t="shared" si="26"/>
        <v>0</v>
      </c>
      <c r="AF29" s="8">
        <f t="shared" si="27"/>
        <v>0</v>
      </c>
      <c r="AG29" s="5" t="b">
        <f t="shared" si="28"/>
        <v>0</v>
      </c>
      <c r="AH29" s="8">
        <f t="shared" si="29"/>
        <v>0</v>
      </c>
      <c r="AI29" s="8">
        <f t="shared" si="30"/>
        <v>0</v>
      </c>
      <c r="AJ29" s="24">
        <f t="shared" si="31"/>
        <v>0</v>
      </c>
      <c r="AK29" s="8">
        <f t="shared" si="32"/>
        <v>0</v>
      </c>
      <c r="AL29" s="8">
        <f t="shared" si="33"/>
        <v>0</v>
      </c>
      <c r="AM29" s="183" t="b">
        <f t="shared" si="34"/>
        <v>1</v>
      </c>
      <c r="AN29" s="8">
        <f t="shared" si="35"/>
        <v>0</v>
      </c>
      <c r="AO29" s="54">
        <f t="shared" si="36"/>
        <v>4000</v>
      </c>
      <c r="AP29" s="8">
        <f t="shared" si="37"/>
        <v>0</v>
      </c>
      <c r="AQ29" s="8">
        <f t="shared" si="45"/>
        <v>0</v>
      </c>
      <c r="AR29" s="106">
        <f t="shared" si="38"/>
        <v>0</v>
      </c>
      <c r="AS29" s="106">
        <f t="shared" si="39"/>
        <v>0</v>
      </c>
      <c r="AT29" s="106">
        <f t="shared" si="40"/>
        <v>0</v>
      </c>
      <c r="AU29" s="106">
        <f t="shared" si="41"/>
        <v>0</v>
      </c>
      <c r="AV29" s="106">
        <f t="shared" si="42"/>
        <v>0</v>
      </c>
      <c r="AW29" t="b">
        <f t="shared" si="43"/>
        <v>1</v>
      </c>
      <c r="AX29" t="b">
        <f t="shared" si="44"/>
        <v>1</v>
      </c>
    </row>
    <row r="30" spans="1:50" x14ac:dyDescent="0.25">
      <c r="A30" s="1">
        <v>28</v>
      </c>
      <c r="B30" s="10">
        <v>40816</v>
      </c>
      <c r="C30" s="5">
        <v>9</v>
      </c>
      <c r="D30" s="13">
        <v>32</v>
      </c>
      <c r="E30" s="57" t="str">
        <f t="shared" si="0"/>
        <v>Office/Outpatient Visit Est</v>
      </c>
      <c r="F30" t="str">
        <f t="shared" si="1"/>
        <v>Professional Services: Obstetric Care (Bundled)</v>
      </c>
      <c r="G30" t="str">
        <f t="shared" si="2"/>
        <v>Plan Deductible Only</v>
      </c>
      <c r="H30" s="109">
        <f t="shared" si="3"/>
        <v>0</v>
      </c>
      <c r="I30" s="109">
        <f t="shared" si="4"/>
        <v>0</v>
      </c>
      <c r="J30" s="109">
        <f t="shared" si="5"/>
        <v>0</v>
      </c>
      <c r="K30" s="5" t="str">
        <f t="shared" si="6"/>
        <v>None</v>
      </c>
      <c r="L30">
        <f t="shared" si="7"/>
        <v>1</v>
      </c>
      <c r="M30" s="3">
        <f t="shared" si="8"/>
        <v>0</v>
      </c>
      <c r="N30" s="5" t="str">
        <f t="shared" si="9"/>
        <v>None</v>
      </c>
      <c r="O30">
        <f t="shared" si="10"/>
        <v>6</v>
      </c>
      <c r="P30" s="3">
        <f t="shared" si="11"/>
        <v>0</v>
      </c>
      <c r="Q30" s="8">
        <f t="shared" si="12"/>
        <v>0</v>
      </c>
      <c r="R30" s="16">
        <f t="shared" si="13"/>
        <v>0</v>
      </c>
      <c r="S30" s="8">
        <f t="shared" si="14"/>
        <v>0</v>
      </c>
      <c r="T30" s="8">
        <f t="shared" si="15"/>
        <v>0</v>
      </c>
      <c r="U30" s="5" t="b">
        <f t="shared" si="16"/>
        <v>1</v>
      </c>
      <c r="V30" s="8">
        <f t="shared" si="17"/>
        <v>0</v>
      </c>
      <c r="W30" s="8">
        <f t="shared" si="18"/>
        <v>0</v>
      </c>
      <c r="X30" s="5" t="b">
        <f t="shared" si="19"/>
        <v>0</v>
      </c>
      <c r="Y30" s="8">
        <f t="shared" si="20"/>
        <v>0</v>
      </c>
      <c r="Z30" s="8">
        <f t="shared" si="21"/>
        <v>0</v>
      </c>
      <c r="AA30" s="5" t="b">
        <f t="shared" si="22"/>
        <v>0</v>
      </c>
      <c r="AB30" s="8">
        <f t="shared" si="23"/>
        <v>0</v>
      </c>
      <c r="AC30" s="8">
        <f t="shared" si="24"/>
        <v>0</v>
      </c>
      <c r="AD30" s="5" t="b">
        <f t="shared" si="25"/>
        <v>0</v>
      </c>
      <c r="AE30" s="8">
        <f t="shared" si="26"/>
        <v>0</v>
      </c>
      <c r="AF30" s="8">
        <f t="shared" si="27"/>
        <v>0</v>
      </c>
      <c r="AG30" s="5" t="b">
        <f t="shared" si="28"/>
        <v>0</v>
      </c>
      <c r="AH30" s="8">
        <f t="shared" si="29"/>
        <v>0</v>
      </c>
      <c r="AI30" s="8">
        <f t="shared" si="30"/>
        <v>0</v>
      </c>
      <c r="AJ30" s="24">
        <f t="shared" si="31"/>
        <v>0</v>
      </c>
      <c r="AK30" s="8">
        <f t="shared" si="32"/>
        <v>0</v>
      </c>
      <c r="AL30" s="8">
        <f t="shared" si="33"/>
        <v>0</v>
      </c>
      <c r="AM30" s="183" t="b">
        <f t="shared" si="34"/>
        <v>1</v>
      </c>
      <c r="AN30" s="8">
        <f t="shared" si="35"/>
        <v>0</v>
      </c>
      <c r="AO30" s="54">
        <f t="shared" si="36"/>
        <v>4000</v>
      </c>
      <c r="AP30" s="8">
        <f t="shared" si="37"/>
        <v>0</v>
      </c>
      <c r="AQ30" s="8">
        <f t="shared" si="45"/>
        <v>0</v>
      </c>
      <c r="AR30" s="106">
        <f t="shared" si="38"/>
        <v>0</v>
      </c>
      <c r="AS30" s="106">
        <f t="shared" si="39"/>
        <v>0</v>
      </c>
      <c r="AT30" s="106">
        <f t="shared" si="40"/>
        <v>0</v>
      </c>
      <c r="AU30" s="106">
        <f t="shared" si="41"/>
        <v>0</v>
      </c>
      <c r="AV30" s="106">
        <f t="shared" si="42"/>
        <v>0</v>
      </c>
      <c r="AW30" t="b">
        <f t="shared" si="43"/>
        <v>1</v>
      </c>
      <c r="AX30" t="b">
        <f t="shared" si="44"/>
        <v>1</v>
      </c>
    </row>
    <row r="31" spans="1:50" x14ac:dyDescent="0.25">
      <c r="A31" s="1">
        <v>29</v>
      </c>
      <c r="B31" s="10">
        <v>40820</v>
      </c>
      <c r="C31" s="5">
        <v>10</v>
      </c>
      <c r="D31" s="13">
        <v>8</v>
      </c>
      <c r="E31" s="57" t="str">
        <f t="shared" si="0"/>
        <v>Prenatal Vitamins (OTC - Bottle of 100) [1 pill daily; 30 pills/month]</v>
      </c>
      <c r="F31" t="str">
        <f t="shared" si="1"/>
        <v>Over-the-counter Drugs</v>
      </c>
      <c r="G31" t="str">
        <f t="shared" si="2"/>
        <v>Not Covered</v>
      </c>
      <c r="H31" s="109">
        <f t="shared" si="3"/>
        <v>12.205466666666666</v>
      </c>
      <c r="I31" s="109">
        <f t="shared" si="4"/>
        <v>12.205466666666666</v>
      </c>
      <c r="J31" s="109">
        <f t="shared" si="5"/>
        <v>0</v>
      </c>
      <c r="K31" s="5" t="str">
        <f t="shared" si="6"/>
        <v>None</v>
      </c>
      <c r="L31">
        <f t="shared" si="7"/>
        <v>0</v>
      </c>
      <c r="M31" s="3">
        <f t="shared" si="8"/>
        <v>0</v>
      </c>
      <c r="N31" s="5" t="str">
        <f t="shared" si="9"/>
        <v>None</v>
      </c>
      <c r="O31">
        <f t="shared" si="10"/>
        <v>3</v>
      </c>
      <c r="P31" s="3">
        <f t="shared" si="11"/>
        <v>0</v>
      </c>
      <c r="Q31" s="8">
        <f t="shared" si="12"/>
        <v>0</v>
      </c>
      <c r="R31" s="16">
        <f t="shared" si="13"/>
        <v>0</v>
      </c>
      <c r="S31" s="8">
        <f t="shared" si="14"/>
        <v>0</v>
      </c>
      <c r="T31" s="8">
        <f t="shared" si="15"/>
        <v>0</v>
      </c>
      <c r="U31" s="5" t="b">
        <f t="shared" si="16"/>
        <v>0</v>
      </c>
      <c r="V31" s="8">
        <f t="shared" si="17"/>
        <v>0</v>
      </c>
      <c r="W31" s="8">
        <f t="shared" si="18"/>
        <v>0</v>
      </c>
      <c r="X31" s="5" t="b">
        <f t="shared" si="19"/>
        <v>0</v>
      </c>
      <c r="Y31" s="8">
        <f t="shared" si="20"/>
        <v>0</v>
      </c>
      <c r="Z31" s="8">
        <f t="shared" si="21"/>
        <v>0</v>
      </c>
      <c r="AA31" s="5" t="b">
        <f t="shared" si="22"/>
        <v>0</v>
      </c>
      <c r="AB31" s="8">
        <f t="shared" si="23"/>
        <v>0</v>
      </c>
      <c r="AC31" s="8">
        <f t="shared" si="24"/>
        <v>0</v>
      </c>
      <c r="AD31" s="5" t="b">
        <f t="shared" si="25"/>
        <v>0</v>
      </c>
      <c r="AE31" s="8">
        <f t="shared" si="26"/>
        <v>0</v>
      </c>
      <c r="AF31" s="8">
        <f t="shared" si="27"/>
        <v>0</v>
      </c>
      <c r="AG31" s="5" t="b">
        <f t="shared" si="28"/>
        <v>0</v>
      </c>
      <c r="AH31" s="8">
        <f t="shared" si="29"/>
        <v>0</v>
      </c>
      <c r="AI31" s="8">
        <f t="shared" si="30"/>
        <v>0</v>
      </c>
      <c r="AJ31" s="24">
        <f t="shared" si="31"/>
        <v>0</v>
      </c>
      <c r="AK31" s="8">
        <f t="shared" si="32"/>
        <v>0</v>
      </c>
      <c r="AL31" s="8">
        <f t="shared" si="33"/>
        <v>0</v>
      </c>
      <c r="AM31" s="183" t="b">
        <f t="shared" si="34"/>
        <v>0</v>
      </c>
      <c r="AN31" s="8">
        <f t="shared" si="35"/>
        <v>0</v>
      </c>
      <c r="AO31" s="54">
        <f t="shared" si="36"/>
        <v>0</v>
      </c>
      <c r="AP31" s="8">
        <f t="shared" si="37"/>
        <v>0</v>
      </c>
      <c r="AQ31" s="8">
        <f t="shared" si="45"/>
        <v>0</v>
      </c>
      <c r="AR31" s="106">
        <f t="shared" si="38"/>
        <v>12.205466666666666</v>
      </c>
      <c r="AS31" s="106">
        <f t="shared" si="39"/>
        <v>0</v>
      </c>
      <c r="AT31" s="106">
        <f t="shared" si="40"/>
        <v>0</v>
      </c>
      <c r="AU31" s="106">
        <f t="shared" si="41"/>
        <v>0</v>
      </c>
      <c r="AV31" s="106">
        <f t="shared" si="42"/>
        <v>0</v>
      </c>
      <c r="AW31" t="b">
        <f t="shared" si="43"/>
        <v>1</v>
      </c>
      <c r="AX31" t="b">
        <f t="shared" si="44"/>
        <v>1</v>
      </c>
    </row>
    <row r="32" spans="1:50" x14ac:dyDescent="0.25">
      <c r="A32" s="1">
        <v>30</v>
      </c>
      <c r="B32" s="10">
        <v>40830</v>
      </c>
      <c r="C32" s="5">
        <v>10</v>
      </c>
      <c r="D32" s="13">
        <v>32</v>
      </c>
      <c r="E32" s="57" t="str">
        <f t="shared" si="0"/>
        <v>Office/Outpatient Visit Est</v>
      </c>
      <c r="F32" t="str">
        <f t="shared" si="1"/>
        <v>Professional Services: Obstetric Care (Bundled)</v>
      </c>
      <c r="G32" t="str">
        <f t="shared" si="2"/>
        <v>Plan Deductible Only</v>
      </c>
      <c r="H32" s="109">
        <f t="shared" si="3"/>
        <v>0</v>
      </c>
      <c r="I32" s="109">
        <f t="shared" si="4"/>
        <v>0</v>
      </c>
      <c r="J32" s="109">
        <f t="shared" si="5"/>
        <v>0</v>
      </c>
      <c r="K32" s="5" t="str">
        <f t="shared" si="6"/>
        <v>None</v>
      </c>
      <c r="L32">
        <f t="shared" si="7"/>
        <v>0</v>
      </c>
      <c r="M32" s="3">
        <f t="shared" si="8"/>
        <v>0</v>
      </c>
      <c r="N32" s="5" t="str">
        <f t="shared" si="9"/>
        <v>None</v>
      </c>
      <c r="O32">
        <f t="shared" si="10"/>
        <v>7</v>
      </c>
      <c r="P32" s="3">
        <f t="shared" si="11"/>
        <v>0</v>
      </c>
      <c r="Q32" s="8">
        <f t="shared" si="12"/>
        <v>0</v>
      </c>
      <c r="R32" s="16">
        <f t="shared" si="13"/>
        <v>0</v>
      </c>
      <c r="S32" s="8">
        <f t="shared" si="14"/>
        <v>0</v>
      </c>
      <c r="T32" s="8">
        <f t="shared" si="15"/>
        <v>0</v>
      </c>
      <c r="U32" s="5" t="b">
        <f t="shared" si="16"/>
        <v>1</v>
      </c>
      <c r="V32" s="8">
        <f t="shared" si="17"/>
        <v>0</v>
      </c>
      <c r="W32" s="8">
        <f t="shared" si="18"/>
        <v>0</v>
      </c>
      <c r="X32" s="5" t="b">
        <f t="shared" si="19"/>
        <v>0</v>
      </c>
      <c r="Y32" s="8">
        <f t="shared" si="20"/>
        <v>0</v>
      </c>
      <c r="Z32" s="8">
        <f t="shared" si="21"/>
        <v>0</v>
      </c>
      <c r="AA32" s="5" t="b">
        <f t="shared" si="22"/>
        <v>0</v>
      </c>
      <c r="AB32" s="8">
        <f t="shared" si="23"/>
        <v>0</v>
      </c>
      <c r="AC32" s="8">
        <f t="shared" si="24"/>
        <v>0</v>
      </c>
      <c r="AD32" s="5" t="b">
        <f t="shared" si="25"/>
        <v>0</v>
      </c>
      <c r="AE32" s="8">
        <f t="shared" si="26"/>
        <v>0</v>
      </c>
      <c r="AF32" s="8">
        <f t="shared" si="27"/>
        <v>0</v>
      </c>
      <c r="AG32" s="5" t="b">
        <f t="shared" si="28"/>
        <v>0</v>
      </c>
      <c r="AH32" s="8">
        <f t="shared" si="29"/>
        <v>0</v>
      </c>
      <c r="AI32" s="8">
        <f t="shared" si="30"/>
        <v>0</v>
      </c>
      <c r="AJ32" s="24">
        <f t="shared" si="31"/>
        <v>0</v>
      </c>
      <c r="AK32" s="8">
        <f t="shared" si="32"/>
        <v>0</v>
      </c>
      <c r="AL32" s="8">
        <f t="shared" si="33"/>
        <v>0</v>
      </c>
      <c r="AM32" s="183" t="b">
        <f t="shared" si="34"/>
        <v>1</v>
      </c>
      <c r="AN32" s="8">
        <f t="shared" si="35"/>
        <v>0</v>
      </c>
      <c r="AO32" s="54">
        <f t="shared" si="36"/>
        <v>4000</v>
      </c>
      <c r="AP32" s="8">
        <f t="shared" si="37"/>
        <v>0</v>
      </c>
      <c r="AQ32" s="8">
        <f t="shared" si="45"/>
        <v>0</v>
      </c>
      <c r="AR32" s="106">
        <f t="shared" si="38"/>
        <v>0</v>
      </c>
      <c r="AS32" s="106">
        <f t="shared" si="39"/>
        <v>0</v>
      </c>
      <c r="AT32" s="106">
        <f t="shared" si="40"/>
        <v>0</v>
      </c>
      <c r="AU32" s="106">
        <f t="shared" si="41"/>
        <v>0</v>
      </c>
      <c r="AV32" s="106">
        <f t="shared" si="42"/>
        <v>0</v>
      </c>
      <c r="AW32" t="b">
        <f t="shared" si="43"/>
        <v>1</v>
      </c>
      <c r="AX32" t="b">
        <f t="shared" si="44"/>
        <v>1</v>
      </c>
    </row>
    <row r="33" spans="1:50" x14ac:dyDescent="0.25">
      <c r="A33" s="1">
        <v>31</v>
      </c>
      <c r="B33" s="10">
        <v>40836</v>
      </c>
      <c r="C33" s="5">
        <v>10</v>
      </c>
      <c r="D33" s="13">
        <v>9</v>
      </c>
      <c r="E33" s="57" t="str">
        <f t="shared" si="0"/>
        <v>Birthing class</v>
      </c>
      <c r="F33" t="str">
        <f t="shared" si="1"/>
        <v>Preventive Services &amp; Vaccines</v>
      </c>
      <c r="G33" t="str">
        <f t="shared" si="2"/>
        <v>No Cost Sharing</v>
      </c>
      <c r="H33" s="109">
        <f t="shared" si="3"/>
        <v>0</v>
      </c>
      <c r="I33" s="109">
        <f t="shared" si="4"/>
        <v>0</v>
      </c>
      <c r="J33" s="109">
        <f t="shared" si="5"/>
        <v>0</v>
      </c>
      <c r="K33" s="5" t="str">
        <f t="shared" si="6"/>
        <v>None</v>
      </c>
      <c r="L33">
        <f t="shared" si="7"/>
        <v>0</v>
      </c>
      <c r="M33" s="3">
        <f t="shared" si="8"/>
        <v>0</v>
      </c>
      <c r="N33" s="5" t="str">
        <f t="shared" si="9"/>
        <v>None</v>
      </c>
      <c r="O33">
        <f t="shared" si="10"/>
        <v>0</v>
      </c>
      <c r="P33" s="3">
        <f t="shared" si="11"/>
        <v>0</v>
      </c>
      <c r="Q33" s="8">
        <f t="shared" si="12"/>
        <v>0</v>
      </c>
      <c r="R33" s="16">
        <f t="shared" si="13"/>
        <v>0</v>
      </c>
      <c r="S33" s="8">
        <f t="shared" si="14"/>
        <v>0</v>
      </c>
      <c r="T33" s="8">
        <f t="shared" si="15"/>
        <v>0</v>
      </c>
      <c r="U33" s="5" t="b">
        <f t="shared" si="16"/>
        <v>0</v>
      </c>
      <c r="V33" s="8">
        <f t="shared" si="17"/>
        <v>0</v>
      </c>
      <c r="W33" s="8">
        <f t="shared" si="18"/>
        <v>0</v>
      </c>
      <c r="X33" s="5" t="b">
        <f t="shared" si="19"/>
        <v>0</v>
      </c>
      <c r="Y33" s="8">
        <f t="shared" si="20"/>
        <v>0</v>
      </c>
      <c r="Z33" s="8">
        <f t="shared" si="21"/>
        <v>0</v>
      </c>
      <c r="AA33" s="5" t="b">
        <f t="shared" si="22"/>
        <v>0</v>
      </c>
      <c r="AB33" s="8">
        <f t="shared" si="23"/>
        <v>0</v>
      </c>
      <c r="AC33" s="8">
        <f t="shared" si="24"/>
        <v>0</v>
      </c>
      <c r="AD33" s="5" t="b">
        <f t="shared" si="25"/>
        <v>0</v>
      </c>
      <c r="AE33" s="8">
        <f t="shared" si="26"/>
        <v>0</v>
      </c>
      <c r="AF33" s="8">
        <f t="shared" si="27"/>
        <v>0</v>
      </c>
      <c r="AG33" s="5" t="b">
        <f t="shared" si="28"/>
        <v>0</v>
      </c>
      <c r="AH33" s="8">
        <f t="shared" si="29"/>
        <v>0</v>
      </c>
      <c r="AI33" s="8">
        <f t="shared" si="30"/>
        <v>0</v>
      </c>
      <c r="AJ33" s="24">
        <f t="shared" si="31"/>
        <v>0</v>
      </c>
      <c r="AK33" s="8">
        <f t="shared" si="32"/>
        <v>0</v>
      </c>
      <c r="AL33" s="8">
        <f t="shared" si="33"/>
        <v>0</v>
      </c>
      <c r="AM33" s="183" t="b">
        <f t="shared" si="34"/>
        <v>1</v>
      </c>
      <c r="AN33" s="8">
        <f t="shared" si="35"/>
        <v>0</v>
      </c>
      <c r="AO33" s="54">
        <f t="shared" si="36"/>
        <v>4000</v>
      </c>
      <c r="AP33" s="8">
        <f t="shared" si="37"/>
        <v>0</v>
      </c>
      <c r="AQ33" s="8">
        <f t="shared" si="45"/>
        <v>0</v>
      </c>
      <c r="AR33" s="106">
        <f t="shared" si="38"/>
        <v>0</v>
      </c>
      <c r="AS33" s="106">
        <f t="shared" si="39"/>
        <v>0</v>
      </c>
      <c r="AT33" s="106">
        <f t="shared" si="40"/>
        <v>0</v>
      </c>
      <c r="AU33" s="106">
        <f t="shared" si="41"/>
        <v>0</v>
      </c>
      <c r="AV33" s="106">
        <f t="shared" si="42"/>
        <v>0</v>
      </c>
      <c r="AW33" t="b">
        <f t="shared" si="43"/>
        <v>1</v>
      </c>
      <c r="AX33" t="b">
        <f t="shared" si="44"/>
        <v>1</v>
      </c>
    </row>
    <row r="34" spans="1:50" x14ac:dyDescent="0.25">
      <c r="A34" s="1">
        <v>32</v>
      </c>
      <c r="B34" s="10">
        <v>40843</v>
      </c>
      <c r="C34" s="5">
        <v>10</v>
      </c>
      <c r="D34" s="13">
        <v>9</v>
      </c>
      <c r="E34" s="57" t="str">
        <f t="shared" si="0"/>
        <v>Birthing class</v>
      </c>
      <c r="F34" t="str">
        <f t="shared" si="1"/>
        <v>Preventive Services &amp; Vaccines</v>
      </c>
      <c r="G34" t="str">
        <f t="shared" si="2"/>
        <v>No Cost Sharing</v>
      </c>
      <c r="H34" s="109">
        <f t="shared" si="3"/>
        <v>0</v>
      </c>
      <c r="I34" s="109">
        <f t="shared" si="4"/>
        <v>0</v>
      </c>
      <c r="J34" s="109">
        <f t="shared" si="5"/>
        <v>0</v>
      </c>
      <c r="K34" s="5" t="str">
        <f t="shared" si="6"/>
        <v>None</v>
      </c>
      <c r="L34">
        <f t="shared" si="7"/>
        <v>1</v>
      </c>
      <c r="M34" s="3">
        <f t="shared" si="8"/>
        <v>0</v>
      </c>
      <c r="N34" s="5" t="str">
        <f t="shared" si="9"/>
        <v>None</v>
      </c>
      <c r="O34">
        <f t="shared" si="10"/>
        <v>1</v>
      </c>
      <c r="P34" s="3">
        <f t="shared" si="11"/>
        <v>0</v>
      </c>
      <c r="Q34" s="8">
        <f t="shared" si="12"/>
        <v>0</v>
      </c>
      <c r="R34" s="16">
        <f t="shared" si="13"/>
        <v>0</v>
      </c>
      <c r="S34" s="8">
        <f t="shared" si="14"/>
        <v>0</v>
      </c>
      <c r="T34" s="8">
        <f t="shared" si="15"/>
        <v>0</v>
      </c>
      <c r="U34" s="5" t="b">
        <f t="shared" si="16"/>
        <v>0</v>
      </c>
      <c r="V34" s="8">
        <f t="shared" si="17"/>
        <v>0</v>
      </c>
      <c r="W34" s="8">
        <f t="shared" si="18"/>
        <v>0</v>
      </c>
      <c r="X34" s="5" t="b">
        <f t="shared" si="19"/>
        <v>0</v>
      </c>
      <c r="Y34" s="8">
        <f t="shared" si="20"/>
        <v>0</v>
      </c>
      <c r="Z34" s="8">
        <f t="shared" si="21"/>
        <v>0</v>
      </c>
      <c r="AA34" s="5" t="b">
        <f t="shared" si="22"/>
        <v>0</v>
      </c>
      <c r="AB34" s="8">
        <f t="shared" si="23"/>
        <v>0</v>
      </c>
      <c r="AC34" s="8">
        <f t="shared" si="24"/>
        <v>0</v>
      </c>
      <c r="AD34" s="5" t="b">
        <f t="shared" si="25"/>
        <v>0</v>
      </c>
      <c r="AE34" s="8">
        <f t="shared" si="26"/>
        <v>0</v>
      </c>
      <c r="AF34" s="8">
        <f t="shared" si="27"/>
        <v>0</v>
      </c>
      <c r="AG34" s="5" t="b">
        <f t="shared" si="28"/>
        <v>0</v>
      </c>
      <c r="AH34" s="8">
        <f t="shared" si="29"/>
        <v>0</v>
      </c>
      <c r="AI34" s="8">
        <f t="shared" si="30"/>
        <v>0</v>
      </c>
      <c r="AJ34" s="24">
        <f t="shared" si="31"/>
        <v>0</v>
      </c>
      <c r="AK34" s="8">
        <f t="shared" si="32"/>
        <v>0</v>
      </c>
      <c r="AL34" s="8">
        <f t="shared" si="33"/>
        <v>0</v>
      </c>
      <c r="AM34" s="183" t="b">
        <f t="shared" si="34"/>
        <v>1</v>
      </c>
      <c r="AN34" s="8">
        <f t="shared" si="35"/>
        <v>0</v>
      </c>
      <c r="AO34" s="54">
        <f t="shared" si="36"/>
        <v>4000</v>
      </c>
      <c r="AP34" s="8">
        <f t="shared" si="37"/>
        <v>0</v>
      </c>
      <c r="AQ34" s="8">
        <f t="shared" si="45"/>
        <v>0</v>
      </c>
      <c r="AR34" s="106">
        <f t="shared" si="38"/>
        <v>0</v>
      </c>
      <c r="AS34" s="106">
        <f t="shared" si="39"/>
        <v>0</v>
      </c>
      <c r="AT34" s="106">
        <f t="shared" si="40"/>
        <v>0</v>
      </c>
      <c r="AU34" s="106">
        <f t="shared" si="41"/>
        <v>0</v>
      </c>
      <c r="AV34" s="106">
        <f t="shared" si="42"/>
        <v>0</v>
      </c>
      <c r="AW34" t="b">
        <f t="shared" si="43"/>
        <v>1</v>
      </c>
      <c r="AX34" t="b">
        <f t="shared" si="44"/>
        <v>1</v>
      </c>
    </row>
    <row r="35" spans="1:50" x14ac:dyDescent="0.25">
      <c r="A35" s="1">
        <v>33</v>
      </c>
      <c r="B35" s="10">
        <v>40844</v>
      </c>
      <c r="C35" s="5">
        <v>10</v>
      </c>
      <c r="D35" s="13">
        <v>29</v>
      </c>
      <c r="E35" s="57" t="str">
        <f t="shared" ref="E35:E56" si="46">VLOOKUP(ServiceCode,MaternityFeeSchedule,6,FALSE)</f>
        <v>Strep B DNA Amp Probe</v>
      </c>
      <c r="F35" t="str">
        <f t="shared" ref="F35:F56" si="47">VLOOKUP(ServiceCode,MaternityFeeSchedule,5,FALSE)</f>
        <v>Diagnostic Services: Laboratory</v>
      </c>
      <c r="G35" t="str">
        <f t="shared" ref="G35:G56" si="48">VLOOKUP(BenefitCategory,BenefitDesignTable,COLUMN(BenefitCostSharing),FALSE)</f>
        <v>Plan Deductible Only</v>
      </c>
      <c r="H35" s="109">
        <f t="shared" ref="H35:H56" si="49">VLOOKUP(ServiceCode,MaternityFeeSchedule,7,FALSE)</f>
        <v>36.78</v>
      </c>
      <c r="I35" s="109">
        <f t="shared" ref="I35:I56" si="50">IF(CostSharingType="Not Covered",AllowedAmt,0)</f>
        <v>0</v>
      </c>
      <c r="J35" s="109">
        <f t="shared" ref="J35:J56" si="51">IF((NotCoveredAmt+AmtExceedMonthLimit+AmtExceedAnnualLimit)&gt;0,0,AllowedAmt)</f>
        <v>36.78</v>
      </c>
      <c r="K35" s="5" t="str">
        <f t="shared" ref="K35:K56" si="52">VLOOKUP(BenefitCategory,BenefitDesignTable,COLUMN(BenefitLimithMonth),FALSE)</f>
        <v>None</v>
      </c>
      <c r="L35">
        <f t="shared" ref="L35:L56" si="53">COUNTIFS(ServiceCode,ServiceCode,ClaimMonth,ClaimMonth,ClaimNumber,"&lt;"&amp;ClaimNumber)</f>
        <v>0</v>
      </c>
      <c r="M35" s="3">
        <f t="shared" ref="M35:M56" si="54">IF(MonthLimit=0,0,IF(PriorUseMonth&gt;=MonthLimit,AllowedAmt,0))</f>
        <v>0</v>
      </c>
      <c r="N35" s="5" t="str">
        <f t="shared" ref="N35:N56" si="55">VLOOKUP(BenefitCategory,BenefitDesignTable,COLUMN(BenefitLimitAnnual),FALSE)</f>
        <v>None</v>
      </c>
      <c r="O35">
        <f t="shared" ref="O35:O56" si="56">COUNTIFS(ServiceCode,ServiceCode,ClaimNumber,"&lt;"&amp;ClaimNumber)</f>
        <v>0</v>
      </c>
      <c r="P35" s="3">
        <f t="shared" ref="P35:P56" si="57">IF(AnnualLimit=0,0,IF(PriorUseAnnual&gt;=AnnualLimit,AllowedAmt,0))</f>
        <v>0</v>
      </c>
      <c r="Q35" s="8">
        <f t="shared" si="12"/>
        <v>0</v>
      </c>
      <c r="R35" s="16">
        <f t="shared" si="13"/>
        <v>0</v>
      </c>
      <c r="S35" s="8">
        <f t="shared" si="14"/>
        <v>0</v>
      </c>
      <c r="T35" s="8">
        <f t="shared" ref="T35:T56" si="58">IF((CoveredAmt-CoPayAmount-CoInsAmount)&lt;0,0,CoveredAmt-CoPayAmount-CoInsAmount)</f>
        <v>36.78</v>
      </c>
      <c r="U35" s="5" t="b">
        <f t="shared" si="16"/>
        <v>1</v>
      </c>
      <c r="V35" s="8">
        <f t="shared" ref="V35:V56" si="59">MAX(0,VLOOKUP(BenefitCategory,BenefitDesignTable,COLUMN(PlanDeductible),FALSE)-SUMIFS(AllowedAmtAfterCopayCoins,PlanDeductibleApplies,TRUE,ClaimNumber,"&lt;"&amp;ClaimNumber))</f>
        <v>0</v>
      </c>
      <c r="W35" s="8">
        <f t="shared" ref="W35:W56" si="60">IF(AllowedAmtAfterCopayCoins&lt;RemainingPlanDeduc,AllowedAmtAfterCopayCoins,RemainingPlanDeduc)</f>
        <v>0</v>
      </c>
      <c r="X35" s="5" t="b">
        <f t="shared" si="19"/>
        <v>0</v>
      </c>
      <c r="Y35" s="8">
        <f t="shared" ref="Y35:Y56" si="61">MAX(0,VLOOKUP(BenefitCategory,BenefitDesignTable,COLUMN(RxDeductible),FALSE)-SUMIFS(AllowedAmtAfterCopayCoins,RxDeductibleApplies,TRUE,ClaimNumber,"&lt;"&amp;ClaimNumber))</f>
        <v>0</v>
      </c>
      <c r="Z35" s="8">
        <f t="shared" ref="Z35:Z56" si="62">IF(AllowedAmtAfterCopayCoins&lt;RemainingRxDeduc,AllowedAmtAfterCopayCoins,RemainingRxDeduc)</f>
        <v>0</v>
      </c>
      <c r="AA35" s="5" t="b">
        <f t="shared" si="22"/>
        <v>0</v>
      </c>
      <c r="AB35" s="8">
        <f t="shared" ref="AB35:AB56" si="63">MAX(0,VLOOKUP(BenefitCategory,BenefitDesignTable,COLUMN(OptDeductibleC),FALSE)-SUMIFS(AllowedAmtAfterCopayCoins,DeductibleCApplies,TRUE,ClaimNumber,"&lt;"&amp;ClaimNumber))</f>
        <v>0</v>
      </c>
      <c r="AC35" s="8">
        <f t="shared" ref="AC35:AC56" si="64">IF(AllowedAmtAfterCopayCoins&lt;RemainingDeductibleC,AllowedAmtAfterCopayCoins,RemainingDeductibleC)</f>
        <v>0</v>
      </c>
      <c r="AD35" s="5" t="b">
        <f t="shared" ref="AD35:AD56" si="65">VLOOKUP(BenefitCategory,BenefitDesignTable,COLUMN(OptDeductibleD),FALSE)&gt;0</f>
        <v>0</v>
      </c>
      <c r="AE35" s="8">
        <f t="shared" ref="AE35:AE56" si="66">MAX(0,VLOOKUP(BenefitCategory,BenefitDesignTable,COLUMN(OptDeductibleD),FALSE)-SUMIFS(AllowedAmtAfterCopayCoins,DeductibleDApplies,TRUE,ClaimNumber,"&lt;"&amp;ClaimNumber))</f>
        <v>0</v>
      </c>
      <c r="AF35" s="8">
        <f t="shared" ref="AF35:AF56" si="67">IF(AllowedAmtAfterCopayCoins&lt;RemainingDeductibleD,AllowedAmtAfterCopayCoins,RemainingDeductibleD)</f>
        <v>0</v>
      </c>
      <c r="AG35" s="5" t="b">
        <f t="shared" si="28"/>
        <v>0</v>
      </c>
      <c r="AH35" s="8">
        <f t="shared" ref="AH35:AH56" si="68">MAX(0,VLOOKUP(BenefitCategory,BenefitDesignTable,COLUMN(BenefitDeductible),FALSE)-SUMIFS(AllowedAmtAfterCopayCoins,BenefitCategory,BenefitCategory,ClaimNumber,"&lt;"&amp;ClaimNumber))</f>
        <v>0</v>
      </c>
      <c r="AI35" s="8">
        <f t="shared" ref="AI35:AI56" si="69">IF(AllowedAmtAfterCopayCoins&lt;RemainingBenefitDeduc,AllowedAmtAfterCopayCoins,RemainingBenefitDeduc)</f>
        <v>0</v>
      </c>
      <c r="AJ35" s="24">
        <f t="shared" ref="AJ35:AJ56" si="70">PlanDeductiblePayment+RxDeductiblePayment+DeductibleCPayment+DeductibleDPayment+BenefitDeductiblePayment</f>
        <v>0</v>
      </c>
      <c r="AK35" s="8">
        <f t="shared" si="32"/>
        <v>36.78</v>
      </c>
      <c r="AL35" s="8">
        <f t="shared" si="33"/>
        <v>0</v>
      </c>
      <c r="AM35" s="183" t="b">
        <f t="shared" si="34"/>
        <v>1</v>
      </c>
      <c r="AN35" s="8">
        <f t="shared" si="35"/>
        <v>0</v>
      </c>
      <c r="AO35" s="54">
        <f t="shared" si="36"/>
        <v>4000</v>
      </c>
      <c r="AP35" s="8">
        <f t="shared" si="37"/>
        <v>0</v>
      </c>
      <c r="AQ35" s="8">
        <f t="shared" si="45"/>
        <v>36.78</v>
      </c>
      <c r="AR35" s="106">
        <f t="shared" ref="AR35:AR56" si="71">NotCoveredAmt</f>
        <v>0</v>
      </c>
      <c r="AS35" s="106">
        <f t="shared" ref="AS35:AS56" si="72">AmtExceedMonthLimit+AmtExceedAnnualLimit</f>
        <v>0</v>
      </c>
      <c r="AT35" s="106">
        <f t="shared" ref="AT35:AT56" si="73">IF(CoPayAmount&lt;SubscriberPaymentAfterOPL,CoPayAmount,SubscriberPaymentAfterOPL)</f>
        <v>0</v>
      </c>
      <c r="AU35" s="106">
        <f t="shared" ref="AU35:AU56" si="74">IF(CoInsAmount&lt;SubscriberPaymentAfterOPL,CoInsAmount,SubscriberPaymentAfterOPL)</f>
        <v>0</v>
      </c>
      <c r="AV35" s="106">
        <f t="shared" ref="AV35:AV56" si="75">IF(PaymentTowardDeductibles&lt;(SubscriberPaymentAfterOPL-CoPayAmount-CoInsAmount),(SubscriberPaymentAfterOPL-CoPayAmount-CoInsAmount),PaymentTowardDeductibles)</f>
        <v>0</v>
      </c>
      <c r="AW35" t="b">
        <f t="shared" ref="AW35:AW56" si="76">SUM(AS35:AV35)=AP35</f>
        <v>1</v>
      </c>
      <c r="AX35" t="b">
        <f t="shared" ref="AX35:AX56" si="77">SUM(AQ35:AV35)=H35</f>
        <v>1</v>
      </c>
    </row>
    <row r="36" spans="1:50" x14ac:dyDescent="0.25">
      <c r="A36" s="1">
        <v>34</v>
      </c>
      <c r="B36" s="10">
        <v>40844</v>
      </c>
      <c r="C36" s="5">
        <v>10</v>
      </c>
      <c r="D36" s="13">
        <v>32</v>
      </c>
      <c r="E36" s="57" t="str">
        <f t="shared" si="46"/>
        <v>Office/Outpatient Visit Est</v>
      </c>
      <c r="F36" t="str">
        <f t="shared" si="47"/>
        <v>Professional Services: Obstetric Care (Bundled)</v>
      </c>
      <c r="G36" t="str">
        <f t="shared" si="48"/>
        <v>Plan Deductible Only</v>
      </c>
      <c r="H36" s="109">
        <f t="shared" si="49"/>
        <v>0</v>
      </c>
      <c r="I36" s="109">
        <f t="shared" si="50"/>
        <v>0</v>
      </c>
      <c r="J36" s="109">
        <f t="shared" si="51"/>
        <v>0</v>
      </c>
      <c r="K36" s="5" t="str">
        <f t="shared" si="52"/>
        <v>None</v>
      </c>
      <c r="L36">
        <f t="shared" si="53"/>
        <v>1</v>
      </c>
      <c r="M36" s="3">
        <f t="shared" si="54"/>
        <v>0</v>
      </c>
      <c r="N36" s="5" t="str">
        <f t="shared" si="55"/>
        <v>None</v>
      </c>
      <c r="O36">
        <f t="shared" si="56"/>
        <v>8</v>
      </c>
      <c r="P36" s="3">
        <f t="shared" si="57"/>
        <v>0</v>
      </c>
      <c r="Q36" s="8">
        <f t="shared" si="12"/>
        <v>0</v>
      </c>
      <c r="R36" s="16">
        <f t="shared" si="13"/>
        <v>0</v>
      </c>
      <c r="S36" s="8">
        <f t="shared" si="14"/>
        <v>0</v>
      </c>
      <c r="T36" s="8">
        <f t="shared" si="58"/>
        <v>0</v>
      </c>
      <c r="U36" s="5" t="b">
        <f t="shared" si="16"/>
        <v>1</v>
      </c>
      <c r="V36" s="8">
        <f t="shared" si="59"/>
        <v>0</v>
      </c>
      <c r="W36" s="8">
        <f t="shared" si="60"/>
        <v>0</v>
      </c>
      <c r="X36" s="5" t="b">
        <f t="shared" si="19"/>
        <v>0</v>
      </c>
      <c r="Y36" s="8">
        <f t="shared" si="61"/>
        <v>0</v>
      </c>
      <c r="Z36" s="8">
        <f t="shared" si="62"/>
        <v>0</v>
      </c>
      <c r="AA36" s="5" t="b">
        <f t="shared" si="22"/>
        <v>0</v>
      </c>
      <c r="AB36" s="8">
        <f t="shared" si="63"/>
        <v>0</v>
      </c>
      <c r="AC36" s="8">
        <f t="shared" si="64"/>
        <v>0</v>
      </c>
      <c r="AD36" s="5" t="b">
        <f t="shared" si="65"/>
        <v>0</v>
      </c>
      <c r="AE36" s="8">
        <f t="shared" si="66"/>
        <v>0</v>
      </c>
      <c r="AF36" s="8">
        <f t="shared" si="67"/>
        <v>0</v>
      </c>
      <c r="AG36" s="5" t="b">
        <f t="shared" si="28"/>
        <v>0</v>
      </c>
      <c r="AH36" s="8">
        <f t="shared" si="68"/>
        <v>0</v>
      </c>
      <c r="AI36" s="8">
        <f t="shared" si="69"/>
        <v>0</v>
      </c>
      <c r="AJ36" s="24">
        <f t="shared" si="70"/>
        <v>0</v>
      </c>
      <c r="AK36" s="8">
        <f t="shared" si="32"/>
        <v>0</v>
      </c>
      <c r="AL36" s="8">
        <f t="shared" si="33"/>
        <v>0</v>
      </c>
      <c r="AM36" s="183" t="b">
        <f t="shared" si="34"/>
        <v>1</v>
      </c>
      <c r="AN36" s="8">
        <f t="shared" si="35"/>
        <v>0</v>
      </c>
      <c r="AO36" s="54">
        <f t="shared" si="36"/>
        <v>4000</v>
      </c>
      <c r="AP36" s="8">
        <f t="shared" si="37"/>
        <v>0</v>
      </c>
      <c r="AQ36" s="8">
        <f t="shared" ref="AQ36:AQ56" si="78">IF(CoveredAmt&lt;SubscriberPaymentAfterOPL,0,CoveredAmt-SubscriberPaymentAfterOPL)</f>
        <v>0</v>
      </c>
      <c r="AR36" s="106">
        <f t="shared" si="71"/>
        <v>0</v>
      </c>
      <c r="AS36" s="106">
        <f t="shared" si="72"/>
        <v>0</v>
      </c>
      <c r="AT36" s="106">
        <f t="shared" si="73"/>
        <v>0</v>
      </c>
      <c r="AU36" s="106">
        <f t="shared" si="74"/>
        <v>0</v>
      </c>
      <c r="AV36" s="106">
        <f t="shared" si="75"/>
        <v>0</v>
      </c>
      <c r="AW36" t="b">
        <f t="shared" si="76"/>
        <v>1</v>
      </c>
      <c r="AX36" t="b">
        <f t="shared" si="77"/>
        <v>1</v>
      </c>
    </row>
    <row r="37" spans="1:50" x14ac:dyDescent="0.25">
      <c r="A37" s="1">
        <v>35</v>
      </c>
      <c r="B37" s="10">
        <v>40844</v>
      </c>
      <c r="C37" s="5">
        <v>10</v>
      </c>
      <c r="D37" s="13">
        <v>10</v>
      </c>
      <c r="E37" s="57" t="str">
        <f t="shared" si="46"/>
        <v xml:space="preserve"> Immunization Admin</v>
      </c>
      <c r="F37" t="str">
        <f t="shared" si="47"/>
        <v>Preventive Services &amp; Vaccines</v>
      </c>
      <c r="G37" t="str">
        <f t="shared" si="48"/>
        <v>No Cost Sharing</v>
      </c>
      <c r="H37" s="109">
        <f t="shared" si="49"/>
        <v>23</v>
      </c>
      <c r="I37" s="109">
        <f t="shared" si="50"/>
        <v>0</v>
      </c>
      <c r="J37" s="109">
        <f t="shared" si="51"/>
        <v>23</v>
      </c>
      <c r="K37" s="5" t="str">
        <f t="shared" si="52"/>
        <v>None</v>
      </c>
      <c r="L37">
        <f t="shared" si="53"/>
        <v>0</v>
      </c>
      <c r="M37" s="3">
        <f t="shared" si="54"/>
        <v>0</v>
      </c>
      <c r="N37" s="5" t="str">
        <f t="shared" si="55"/>
        <v>None</v>
      </c>
      <c r="O37">
        <f t="shared" si="56"/>
        <v>0</v>
      </c>
      <c r="P37" s="3">
        <f t="shared" si="57"/>
        <v>0</v>
      </c>
      <c r="Q37" s="8">
        <f t="shared" si="12"/>
        <v>0</v>
      </c>
      <c r="R37" s="16">
        <f t="shared" si="13"/>
        <v>0</v>
      </c>
      <c r="S37" s="8">
        <f t="shared" si="14"/>
        <v>0</v>
      </c>
      <c r="T37" s="8">
        <f t="shared" si="58"/>
        <v>23</v>
      </c>
      <c r="U37" s="5" t="b">
        <f t="shared" si="16"/>
        <v>0</v>
      </c>
      <c r="V37" s="8">
        <f t="shared" si="59"/>
        <v>0</v>
      </c>
      <c r="W37" s="8">
        <f t="shared" si="60"/>
        <v>0</v>
      </c>
      <c r="X37" s="5" t="b">
        <f t="shared" si="19"/>
        <v>0</v>
      </c>
      <c r="Y37" s="8">
        <f t="shared" si="61"/>
        <v>0</v>
      </c>
      <c r="Z37" s="8">
        <f t="shared" si="62"/>
        <v>0</v>
      </c>
      <c r="AA37" s="5" t="b">
        <f t="shared" si="22"/>
        <v>0</v>
      </c>
      <c r="AB37" s="8">
        <f t="shared" si="63"/>
        <v>0</v>
      </c>
      <c r="AC37" s="8">
        <f t="shared" si="64"/>
        <v>0</v>
      </c>
      <c r="AD37" s="5" t="b">
        <f t="shared" si="65"/>
        <v>0</v>
      </c>
      <c r="AE37" s="8">
        <f t="shared" si="66"/>
        <v>0</v>
      </c>
      <c r="AF37" s="8">
        <f t="shared" si="67"/>
        <v>0</v>
      </c>
      <c r="AG37" s="5" t="b">
        <f t="shared" si="28"/>
        <v>0</v>
      </c>
      <c r="AH37" s="8">
        <f t="shared" si="68"/>
        <v>0</v>
      </c>
      <c r="AI37" s="8">
        <f t="shared" si="69"/>
        <v>0</v>
      </c>
      <c r="AJ37" s="24">
        <f t="shared" si="70"/>
        <v>0</v>
      </c>
      <c r="AK37" s="8">
        <f t="shared" si="32"/>
        <v>23</v>
      </c>
      <c r="AL37" s="8">
        <f t="shared" si="33"/>
        <v>0</v>
      </c>
      <c r="AM37" s="183" t="b">
        <f t="shared" si="34"/>
        <v>1</v>
      </c>
      <c r="AN37" s="8">
        <f t="shared" si="35"/>
        <v>0</v>
      </c>
      <c r="AO37" s="54">
        <f t="shared" si="36"/>
        <v>4000</v>
      </c>
      <c r="AP37" s="8">
        <f t="shared" si="37"/>
        <v>0</v>
      </c>
      <c r="AQ37" s="8">
        <f t="shared" si="78"/>
        <v>23</v>
      </c>
      <c r="AR37" s="106">
        <f t="shared" si="71"/>
        <v>0</v>
      </c>
      <c r="AS37" s="106">
        <f t="shared" si="72"/>
        <v>0</v>
      </c>
      <c r="AT37" s="106">
        <f t="shared" si="73"/>
        <v>0</v>
      </c>
      <c r="AU37" s="106">
        <f t="shared" si="74"/>
        <v>0</v>
      </c>
      <c r="AV37" s="106">
        <f t="shared" si="75"/>
        <v>0</v>
      </c>
      <c r="AW37" t="b">
        <f t="shared" si="76"/>
        <v>1</v>
      </c>
      <c r="AX37" t="b">
        <f t="shared" si="77"/>
        <v>1</v>
      </c>
    </row>
    <row r="38" spans="1:50" x14ac:dyDescent="0.25">
      <c r="A38" s="1">
        <v>36</v>
      </c>
      <c r="B38" s="10">
        <v>40844</v>
      </c>
      <c r="C38" s="5">
        <v>10</v>
      </c>
      <c r="D38" s="13">
        <v>11</v>
      </c>
      <c r="E38" s="57" t="str">
        <f t="shared" si="46"/>
        <v>Flu Vaccine N0 Preserv 3 &amp; &gt;</v>
      </c>
      <c r="F38" t="str">
        <f t="shared" si="47"/>
        <v>Preventive Services &amp; Vaccines</v>
      </c>
      <c r="G38" t="str">
        <f t="shared" si="48"/>
        <v>No Cost Sharing</v>
      </c>
      <c r="H38" s="109">
        <f t="shared" si="49"/>
        <v>14.27</v>
      </c>
      <c r="I38" s="109">
        <f t="shared" si="50"/>
        <v>0</v>
      </c>
      <c r="J38" s="109">
        <f t="shared" si="51"/>
        <v>14.27</v>
      </c>
      <c r="K38" s="5" t="str">
        <f t="shared" si="52"/>
        <v>None</v>
      </c>
      <c r="L38">
        <f t="shared" si="53"/>
        <v>0</v>
      </c>
      <c r="M38" s="3">
        <f t="shared" si="54"/>
        <v>0</v>
      </c>
      <c r="N38" s="5" t="str">
        <f t="shared" si="55"/>
        <v>None</v>
      </c>
      <c r="O38">
        <f t="shared" si="56"/>
        <v>0</v>
      </c>
      <c r="P38" s="3">
        <f t="shared" si="57"/>
        <v>0</v>
      </c>
      <c r="Q38" s="8">
        <f t="shared" si="12"/>
        <v>0</v>
      </c>
      <c r="R38" s="16">
        <f t="shared" si="13"/>
        <v>0</v>
      </c>
      <c r="S38" s="8">
        <f t="shared" si="14"/>
        <v>0</v>
      </c>
      <c r="T38" s="8">
        <f t="shared" si="58"/>
        <v>14.27</v>
      </c>
      <c r="U38" s="5" t="b">
        <f t="shared" si="16"/>
        <v>0</v>
      </c>
      <c r="V38" s="8">
        <f t="shared" si="59"/>
        <v>0</v>
      </c>
      <c r="W38" s="8">
        <f t="shared" si="60"/>
        <v>0</v>
      </c>
      <c r="X38" s="5" t="b">
        <f t="shared" si="19"/>
        <v>0</v>
      </c>
      <c r="Y38" s="8">
        <f t="shared" si="61"/>
        <v>0</v>
      </c>
      <c r="Z38" s="8">
        <f t="shared" si="62"/>
        <v>0</v>
      </c>
      <c r="AA38" s="5" t="b">
        <f t="shared" si="22"/>
        <v>0</v>
      </c>
      <c r="AB38" s="8">
        <f t="shared" si="63"/>
        <v>0</v>
      </c>
      <c r="AC38" s="8">
        <f t="shared" si="64"/>
        <v>0</v>
      </c>
      <c r="AD38" s="5" t="b">
        <f t="shared" si="65"/>
        <v>0</v>
      </c>
      <c r="AE38" s="8">
        <f t="shared" si="66"/>
        <v>0</v>
      </c>
      <c r="AF38" s="8">
        <f t="shared" si="67"/>
        <v>0</v>
      </c>
      <c r="AG38" s="5" t="b">
        <f t="shared" si="28"/>
        <v>0</v>
      </c>
      <c r="AH38" s="8">
        <f t="shared" si="68"/>
        <v>0</v>
      </c>
      <c r="AI38" s="8">
        <f t="shared" si="69"/>
        <v>0</v>
      </c>
      <c r="AJ38" s="24">
        <f t="shared" si="70"/>
        <v>0</v>
      </c>
      <c r="AK38" s="8">
        <f t="shared" si="32"/>
        <v>14.27</v>
      </c>
      <c r="AL38" s="8">
        <f t="shared" si="33"/>
        <v>0</v>
      </c>
      <c r="AM38" s="183" t="b">
        <f t="shared" si="34"/>
        <v>1</v>
      </c>
      <c r="AN38" s="8">
        <f t="shared" si="35"/>
        <v>0</v>
      </c>
      <c r="AO38" s="54">
        <f t="shared" si="36"/>
        <v>4000</v>
      </c>
      <c r="AP38" s="8">
        <f t="shared" si="37"/>
        <v>0</v>
      </c>
      <c r="AQ38" s="8">
        <f t="shared" si="78"/>
        <v>14.27</v>
      </c>
      <c r="AR38" s="106">
        <f t="shared" si="71"/>
        <v>0</v>
      </c>
      <c r="AS38" s="106">
        <f t="shared" si="72"/>
        <v>0</v>
      </c>
      <c r="AT38" s="106">
        <f t="shared" si="73"/>
        <v>0</v>
      </c>
      <c r="AU38" s="106">
        <f t="shared" si="74"/>
        <v>0</v>
      </c>
      <c r="AV38" s="106">
        <f t="shared" si="75"/>
        <v>0</v>
      </c>
      <c r="AW38" t="b">
        <f t="shared" si="76"/>
        <v>1</v>
      </c>
      <c r="AX38" t="b">
        <f t="shared" si="77"/>
        <v>1</v>
      </c>
    </row>
    <row r="39" spans="1:50" x14ac:dyDescent="0.25">
      <c r="A39" s="1">
        <v>37</v>
      </c>
      <c r="B39" s="10">
        <v>40848</v>
      </c>
      <c r="C39" s="5">
        <v>11</v>
      </c>
      <c r="D39" s="13">
        <v>9</v>
      </c>
      <c r="E39" s="57" t="str">
        <f t="shared" si="46"/>
        <v>Birthing class</v>
      </c>
      <c r="F39" t="str">
        <f t="shared" si="47"/>
        <v>Preventive Services &amp; Vaccines</v>
      </c>
      <c r="G39" t="str">
        <f t="shared" si="48"/>
        <v>No Cost Sharing</v>
      </c>
      <c r="H39" s="109">
        <f t="shared" si="49"/>
        <v>0</v>
      </c>
      <c r="I39" s="109">
        <f t="shared" si="50"/>
        <v>0</v>
      </c>
      <c r="J39" s="109">
        <f t="shared" si="51"/>
        <v>0</v>
      </c>
      <c r="K39" s="5" t="str">
        <f t="shared" si="52"/>
        <v>None</v>
      </c>
      <c r="L39">
        <f t="shared" si="53"/>
        <v>0</v>
      </c>
      <c r="M39" s="3">
        <f t="shared" si="54"/>
        <v>0</v>
      </c>
      <c r="N39" s="5" t="str">
        <f t="shared" si="55"/>
        <v>None</v>
      </c>
      <c r="O39">
        <f t="shared" si="56"/>
        <v>2</v>
      </c>
      <c r="P39" s="3">
        <f t="shared" si="57"/>
        <v>0</v>
      </c>
      <c r="Q39" s="8">
        <f t="shared" si="12"/>
        <v>0</v>
      </c>
      <c r="R39" s="16">
        <f t="shared" si="13"/>
        <v>0</v>
      </c>
      <c r="S39" s="8">
        <f t="shared" si="14"/>
        <v>0</v>
      </c>
      <c r="T39" s="8">
        <f t="shared" si="58"/>
        <v>0</v>
      </c>
      <c r="U39" s="5" t="b">
        <f t="shared" si="16"/>
        <v>0</v>
      </c>
      <c r="V39" s="8">
        <f t="shared" si="59"/>
        <v>0</v>
      </c>
      <c r="W39" s="8">
        <f t="shared" si="60"/>
        <v>0</v>
      </c>
      <c r="X39" s="5" t="b">
        <f t="shared" si="19"/>
        <v>0</v>
      </c>
      <c r="Y39" s="8">
        <f t="shared" si="61"/>
        <v>0</v>
      </c>
      <c r="Z39" s="8">
        <f t="shared" si="62"/>
        <v>0</v>
      </c>
      <c r="AA39" s="5" t="b">
        <f t="shared" si="22"/>
        <v>0</v>
      </c>
      <c r="AB39" s="8">
        <f t="shared" si="63"/>
        <v>0</v>
      </c>
      <c r="AC39" s="8">
        <f t="shared" si="64"/>
        <v>0</v>
      </c>
      <c r="AD39" s="5" t="b">
        <f t="shared" si="65"/>
        <v>0</v>
      </c>
      <c r="AE39" s="8">
        <f t="shared" si="66"/>
        <v>0</v>
      </c>
      <c r="AF39" s="8">
        <f t="shared" si="67"/>
        <v>0</v>
      </c>
      <c r="AG39" s="5" t="b">
        <f t="shared" si="28"/>
        <v>0</v>
      </c>
      <c r="AH39" s="8">
        <f t="shared" si="68"/>
        <v>0</v>
      </c>
      <c r="AI39" s="8">
        <f t="shared" si="69"/>
        <v>0</v>
      </c>
      <c r="AJ39" s="24">
        <f t="shared" si="70"/>
        <v>0</v>
      </c>
      <c r="AK39" s="8">
        <f t="shared" si="32"/>
        <v>0</v>
      </c>
      <c r="AL39" s="8">
        <f t="shared" si="33"/>
        <v>0</v>
      </c>
      <c r="AM39" s="183" t="b">
        <f t="shared" si="34"/>
        <v>1</v>
      </c>
      <c r="AN39" s="8">
        <f t="shared" si="35"/>
        <v>0</v>
      </c>
      <c r="AO39" s="54">
        <f t="shared" si="36"/>
        <v>4000</v>
      </c>
      <c r="AP39" s="8">
        <f t="shared" si="37"/>
        <v>0</v>
      </c>
      <c r="AQ39" s="8">
        <f t="shared" si="78"/>
        <v>0</v>
      </c>
      <c r="AR39" s="106">
        <f t="shared" si="71"/>
        <v>0</v>
      </c>
      <c r="AS39" s="106">
        <f t="shared" si="72"/>
        <v>0</v>
      </c>
      <c r="AT39" s="106">
        <f t="shared" si="73"/>
        <v>0</v>
      </c>
      <c r="AU39" s="106">
        <f t="shared" si="74"/>
        <v>0</v>
      </c>
      <c r="AV39" s="106">
        <f t="shared" si="75"/>
        <v>0</v>
      </c>
      <c r="AW39" t="b">
        <f t="shared" si="76"/>
        <v>1</v>
      </c>
      <c r="AX39" t="b">
        <f t="shared" si="77"/>
        <v>1</v>
      </c>
    </row>
    <row r="40" spans="1:50" x14ac:dyDescent="0.25">
      <c r="A40" s="1">
        <v>38</v>
      </c>
      <c r="B40" s="10">
        <v>40855</v>
      </c>
      <c r="C40" s="5">
        <v>11</v>
      </c>
      <c r="D40" s="13">
        <v>9</v>
      </c>
      <c r="E40" s="57" t="str">
        <f t="shared" si="46"/>
        <v>Birthing class</v>
      </c>
      <c r="F40" t="str">
        <f t="shared" si="47"/>
        <v>Preventive Services &amp; Vaccines</v>
      </c>
      <c r="G40" t="str">
        <f t="shared" si="48"/>
        <v>No Cost Sharing</v>
      </c>
      <c r="H40" s="109">
        <f t="shared" si="49"/>
        <v>0</v>
      </c>
      <c r="I40" s="109">
        <f t="shared" si="50"/>
        <v>0</v>
      </c>
      <c r="J40" s="109">
        <f t="shared" si="51"/>
        <v>0</v>
      </c>
      <c r="K40" s="5" t="str">
        <f t="shared" si="52"/>
        <v>None</v>
      </c>
      <c r="L40">
        <f t="shared" si="53"/>
        <v>1</v>
      </c>
      <c r="M40" s="3">
        <f t="shared" si="54"/>
        <v>0</v>
      </c>
      <c r="N40" s="5" t="str">
        <f t="shared" si="55"/>
        <v>None</v>
      </c>
      <c r="O40">
        <f t="shared" si="56"/>
        <v>3</v>
      </c>
      <c r="P40" s="3">
        <f t="shared" si="57"/>
        <v>0</v>
      </c>
      <c r="Q40" s="8">
        <f t="shared" si="12"/>
        <v>0</v>
      </c>
      <c r="R40" s="16">
        <f t="shared" si="13"/>
        <v>0</v>
      </c>
      <c r="S40" s="8">
        <f t="shared" si="14"/>
        <v>0</v>
      </c>
      <c r="T40" s="8">
        <f t="shared" si="58"/>
        <v>0</v>
      </c>
      <c r="U40" s="5" t="b">
        <f t="shared" si="16"/>
        <v>0</v>
      </c>
      <c r="V40" s="8">
        <f t="shared" si="59"/>
        <v>0</v>
      </c>
      <c r="W40" s="8">
        <f t="shared" si="60"/>
        <v>0</v>
      </c>
      <c r="X40" s="5" t="b">
        <f t="shared" si="19"/>
        <v>0</v>
      </c>
      <c r="Y40" s="8">
        <f t="shared" si="61"/>
        <v>0</v>
      </c>
      <c r="Z40" s="8">
        <f t="shared" si="62"/>
        <v>0</v>
      </c>
      <c r="AA40" s="5" t="b">
        <f t="shared" si="22"/>
        <v>0</v>
      </c>
      <c r="AB40" s="8">
        <f t="shared" si="63"/>
        <v>0</v>
      </c>
      <c r="AC40" s="8">
        <f t="shared" si="64"/>
        <v>0</v>
      </c>
      <c r="AD40" s="5" t="b">
        <f t="shared" si="65"/>
        <v>0</v>
      </c>
      <c r="AE40" s="8">
        <f t="shared" si="66"/>
        <v>0</v>
      </c>
      <c r="AF40" s="8">
        <f t="shared" si="67"/>
        <v>0</v>
      </c>
      <c r="AG40" s="5" t="b">
        <f t="shared" si="28"/>
        <v>0</v>
      </c>
      <c r="AH40" s="8">
        <f t="shared" si="68"/>
        <v>0</v>
      </c>
      <c r="AI40" s="8">
        <f t="shared" si="69"/>
        <v>0</v>
      </c>
      <c r="AJ40" s="24">
        <f t="shared" si="70"/>
        <v>0</v>
      </c>
      <c r="AK40" s="8">
        <f t="shared" si="32"/>
        <v>0</v>
      </c>
      <c r="AL40" s="8">
        <f t="shared" si="33"/>
        <v>0</v>
      </c>
      <c r="AM40" s="183" t="b">
        <f t="shared" si="34"/>
        <v>1</v>
      </c>
      <c r="AN40" s="8">
        <f t="shared" si="35"/>
        <v>0</v>
      </c>
      <c r="AO40" s="54">
        <f t="shared" si="36"/>
        <v>4000</v>
      </c>
      <c r="AP40" s="8">
        <f t="shared" si="37"/>
        <v>0</v>
      </c>
      <c r="AQ40" s="8">
        <f t="shared" si="78"/>
        <v>0</v>
      </c>
      <c r="AR40" s="106">
        <f t="shared" si="71"/>
        <v>0</v>
      </c>
      <c r="AS40" s="106">
        <f t="shared" si="72"/>
        <v>0</v>
      </c>
      <c r="AT40" s="106">
        <f t="shared" si="73"/>
        <v>0</v>
      </c>
      <c r="AU40" s="106">
        <f t="shared" si="74"/>
        <v>0</v>
      </c>
      <c r="AV40" s="106">
        <f t="shared" si="75"/>
        <v>0</v>
      </c>
      <c r="AW40" t="b">
        <f t="shared" si="76"/>
        <v>1</v>
      </c>
      <c r="AX40" t="b">
        <f t="shared" si="77"/>
        <v>1</v>
      </c>
    </row>
    <row r="41" spans="1:50" x14ac:dyDescent="0.25">
      <c r="A41" s="1">
        <v>39</v>
      </c>
      <c r="B41" s="10">
        <v>40858</v>
      </c>
      <c r="C41" s="5">
        <v>11</v>
      </c>
      <c r="D41" s="13">
        <v>32</v>
      </c>
      <c r="E41" s="57" t="str">
        <f t="shared" si="46"/>
        <v>Office/Outpatient Visit Est</v>
      </c>
      <c r="F41" t="str">
        <f t="shared" si="47"/>
        <v>Professional Services: Obstetric Care (Bundled)</v>
      </c>
      <c r="G41" t="str">
        <f t="shared" si="48"/>
        <v>Plan Deductible Only</v>
      </c>
      <c r="H41" s="109">
        <f t="shared" si="49"/>
        <v>0</v>
      </c>
      <c r="I41" s="109">
        <f t="shared" si="50"/>
        <v>0</v>
      </c>
      <c r="J41" s="109">
        <f t="shared" si="51"/>
        <v>0</v>
      </c>
      <c r="K41" s="5" t="str">
        <f t="shared" si="52"/>
        <v>None</v>
      </c>
      <c r="L41">
        <f t="shared" si="53"/>
        <v>0</v>
      </c>
      <c r="M41" s="3">
        <f t="shared" si="54"/>
        <v>0</v>
      </c>
      <c r="N41" s="5" t="str">
        <f t="shared" si="55"/>
        <v>None</v>
      </c>
      <c r="O41">
        <f t="shared" si="56"/>
        <v>9</v>
      </c>
      <c r="P41" s="3">
        <f t="shared" si="57"/>
        <v>0</v>
      </c>
      <c r="Q41" s="8">
        <f t="shared" si="12"/>
        <v>0</v>
      </c>
      <c r="R41" s="16">
        <f t="shared" si="13"/>
        <v>0</v>
      </c>
      <c r="S41" s="8">
        <f t="shared" si="14"/>
        <v>0</v>
      </c>
      <c r="T41" s="8">
        <f t="shared" si="58"/>
        <v>0</v>
      </c>
      <c r="U41" s="5" t="b">
        <f t="shared" si="16"/>
        <v>1</v>
      </c>
      <c r="V41" s="8">
        <f t="shared" si="59"/>
        <v>0</v>
      </c>
      <c r="W41" s="8">
        <f t="shared" si="60"/>
        <v>0</v>
      </c>
      <c r="X41" s="5" t="b">
        <f t="shared" si="19"/>
        <v>0</v>
      </c>
      <c r="Y41" s="8">
        <f t="shared" si="61"/>
        <v>0</v>
      </c>
      <c r="Z41" s="8">
        <f t="shared" si="62"/>
        <v>0</v>
      </c>
      <c r="AA41" s="5" t="b">
        <f t="shared" si="22"/>
        <v>0</v>
      </c>
      <c r="AB41" s="8">
        <f t="shared" si="63"/>
        <v>0</v>
      </c>
      <c r="AC41" s="8">
        <f t="shared" si="64"/>
        <v>0</v>
      </c>
      <c r="AD41" s="5" t="b">
        <f t="shared" si="65"/>
        <v>0</v>
      </c>
      <c r="AE41" s="8">
        <f t="shared" si="66"/>
        <v>0</v>
      </c>
      <c r="AF41" s="8">
        <f t="shared" si="67"/>
        <v>0</v>
      </c>
      <c r="AG41" s="5" t="b">
        <f t="shared" si="28"/>
        <v>0</v>
      </c>
      <c r="AH41" s="8">
        <f t="shared" si="68"/>
        <v>0</v>
      </c>
      <c r="AI41" s="8">
        <f t="shared" si="69"/>
        <v>0</v>
      </c>
      <c r="AJ41" s="24">
        <f t="shared" si="70"/>
        <v>0</v>
      </c>
      <c r="AK41" s="8">
        <f t="shared" si="32"/>
        <v>0</v>
      </c>
      <c r="AL41" s="8">
        <f t="shared" si="33"/>
        <v>0</v>
      </c>
      <c r="AM41" s="183" t="b">
        <f t="shared" si="34"/>
        <v>1</v>
      </c>
      <c r="AN41" s="8">
        <f t="shared" si="35"/>
        <v>0</v>
      </c>
      <c r="AO41" s="54">
        <f t="shared" si="36"/>
        <v>4000</v>
      </c>
      <c r="AP41" s="8">
        <f t="shared" si="37"/>
        <v>0</v>
      </c>
      <c r="AQ41" s="8">
        <f t="shared" si="78"/>
        <v>0</v>
      </c>
      <c r="AR41" s="106">
        <f t="shared" si="71"/>
        <v>0</v>
      </c>
      <c r="AS41" s="106">
        <f t="shared" si="72"/>
        <v>0</v>
      </c>
      <c r="AT41" s="106">
        <f t="shared" si="73"/>
        <v>0</v>
      </c>
      <c r="AU41" s="106">
        <f t="shared" si="74"/>
        <v>0</v>
      </c>
      <c r="AV41" s="106">
        <f t="shared" si="75"/>
        <v>0</v>
      </c>
      <c r="AW41" t="b">
        <f t="shared" si="76"/>
        <v>1</v>
      </c>
      <c r="AX41" t="b">
        <f t="shared" si="77"/>
        <v>1</v>
      </c>
    </row>
    <row r="42" spans="1:50" x14ac:dyDescent="0.25">
      <c r="A42" s="1">
        <v>40</v>
      </c>
      <c r="B42" s="10">
        <v>40865</v>
      </c>
      <c r="C42" s="5">
        <v>11</v>
      </c>
      <c r="D42" s="13">
        <v>32</v>
      </c>
      <c r="E42" s="57" t="str">
        <f t="shared" si="46"/>
        <v>Office/Outpatient Visit Est</v>
      </c>
      <c r="F42" t="str">
        <f t="shared" si="47"/>
        <v>Professional Services: Obstetric Care (Bundled)</v>
      </c>
      <c r="G42" t="str">
        <f t="shared" si="48"/>
        <v>Plan Deductible Only</v>
      </c>
      <c r="H42" s="109">
        <f t="shared" si="49"/>
        <v>0</v>
      </c>
      <c r="I42" s="109">
        <f t="shared" si="50"/>
        <v>0</v>
      </c>
      <c r="J42" s="109">
        <f t="shared" si="51"/>
        <v>0</v>
      </c>
      <c r="K42" s="5" t="str">
        <f t="shared" si="52"/>
        <v>None</v>
      </c>
      <c r="L42">
        <f t="shared" si="53"/>
        <v>1</v>
      </c>
      <c r="M42" s="3">
        <f t="shared" si="54"/>
        <v>0</v>
      </c>
      <c r="N42" s="5" t="str">
        <f t="shared" si="55"/>
        <v>None</v>
      </c>
      <c r="O42">
        <f t="shared" si="56"/>
        <v>10</v>
      </c>
      <c r="P42" s="3">
        <f t="shared" si="57"/>
        <v>0</v>
      </c>
      <c r="Q42" s="8">
        <f t="shared" si="12"/>
        <v>0</v>
      </c>
      <c r="R42" s="16">
        <f t="shared" si="13"/>
        <v>0</v>
      </c>
      <c r="S42" s="8">
        <f t="shared" si="14"/>
        <v>0</v>
      </c>
      <c r="T42" s="8">
        <f t="shared" si="58"/>
        <v>0</v>
      </c>
      <c r="U42" s="5" t="b">
        <f t="shared" si="16"/>
        <v>1</v>
      </c>
      <c r="V42" s="8">
        <f t="shared" si="59"/>
        <v>0</v>
      </c>
      <c r="W42" s="8">
        <f t="shared" si="60"/>
        <v>0</v>
      </c>
      <c r="X42" s="5" t="b">
        <f t="shared" si="19"/>
        <v>0</v>
      </c>
      <c r="Y42" s="8">
        <f t="shared" si="61"/>
        <v>0</v>
      </c>
      <c r="Z42" s="8">
        <f t="shared" si="62"/>
        <v>0</v>
      </c>
      <c r="AA42" s="5" t="b">
        <f t="shared" si="22"/>
        <v>0</v>
      </c>
      <c r="AB42" s="8">
        <f t="shared" si="63"/>
        <v>0</v>
      </c>
      <c r="AC42" s="8">
        <f t="shared" si="64"/>
        <v>0</v>
      </c>
      <c r="AD42" s="5" t="b">
        <f t="shared" si="65"/>
        <v>0</v>
      </c>
      <c r="AE42" s="8">
        <f t="shared" si="66"/>
        <v>0</v>
      </c>
      <c r="AF42" s="8">
        <f t="shared" si="67"/>
        <v>0</v>
      </c>
      <c r="AG42" s="5" t="b">
        <f t="shared" si="28"/>
        <v>0</v>
      </c>
      <c r="AH42" s="8">
        <f t="shared" si="68"/>
        <v>0</v>
      </c>
      <c r="AI42" s="8">
        <f t="shared" si="69"/>
        <v>0</v>
      </c>
      <c r="AJ42" s="24">
        <f t="shared" si="70"/>
        <v>0</v>
      </c>
      <c r="AK42" s="8">
        <f t="shared" si="32"/>
        <v>0</v>
      </c>
      <c r="AL42" s="8">
        <f t="shared" si="33"/>
        <v>0</v>
      </c>
      <c r="AM42" s="183" t="b">
        <f t="shared" si="34"/>
        <v>1</v>
      </c>
      <c r="AN42" s="8">
        <f t="shared" si="35"/>
        <v>0</v>
      </c>
      <c r="AO42" s="54">
        <f t="shared" si="36"/>
        <v>4000</v>
      </c>
      <c r="AP42" s="8">
        <f t="shared" si="37"/>
        <v>0</v>
      </c>
      <c r="AQ42" s="8">
        <f t="shared" si="78"/>
        <v>0</v>
      </c>
      <c r="AR42" s="106">
        <f t="shared" si="71"/>
        <v>0</v>
      </c>
      <c r="AS42" s="106">
        <f t="shared" si="72"/>
        <v>0</v>
      </c>
      <c r="AT42" s="106">
        <f t="shared" si="73"/>
        <v>0</v>
      </c>
      <c r="AU42" s="106">
        <f t="shared" si="74"/>
        <v>0</v>
      </c>
      <c r="AV42" s="106">
        <f t="shared" si="75"/>
        <v>0</v>
      </c>
      <c r="AW42" t="b">
        <f t="shared" si="76"/>
        <v>1</v>
      </c>
      <c r="AX42" t="b">
        <f t="shared" si="77"/>
        <v>1</v>
      </c>
    </row>
    <row r="43" spans="1:50" x14ac:dyDescent="0.25">
      <c r="A43" s="1">
        <v>41</v>
      </c>
      <c r="B43" s="10">
        <v>40872</v>
      </c>
      <c r="C43" s="5">
        <v>11</v>
      </c>
      <c r="D43" s="13">
        <v>32</v>
      </c>
      <c r="E43" s="57" t="str">
        <f t="shared" si="46"/>
        <v>Office/Outpatient Visit Est</v>
      </c>
      <c r="F43" t="str">
        <f t="shared" si="47"/>
        <v>Professional Services: Obstetric Care (Bundled)</v>
      </c>
      <c r="G43" t="str">
        <f t="shared" si="48"/>
        <v>Plan Deductible Only</v>
      </c>
      <c r="H43" s="109">
        <f t="shared" si="49"/>
        <v>0</v>
      </c>
      <c r="I43" s="109">
        <f t="shared" si="50"/>
        <v>0</v>
      </c>
      <c r="J43" s="109">
        <f t="shared" si="51"/>
        <v>0</v>
      </c>
      <c r="K43" s="5" t="str">
        <f t="shared" si="52"/>
        <v>None</v>
      </c>
      <c r="L43">
        <f t="shared" si="53"/>
        <v>2</v>
      </c>
      <c r="M43" s="3">
        <f t="shared" si="54"/>
        <v>0</v>
      </c>
      <c r="N43" s="5" t="str">
        <f t="shared" si="55"/>
        <v>None</v>
      </c>
      <c r="O43">
        <f t="shared" si="56"/>
        <v>11</v>
      </c>
      <c r="P43" s="3">
        <f t="shared" si="57"/>
        <v>0</v>
      </c>
      <c r="Q43" s="8">
        <f t="shared" si="12"/>
        <v>0</v>
      </c>
      <c r="R43" s="16">
        <f t="shared" si="13"/>
        <v>0</v>
      </c>
      <c r="S43" s="8">
        <f t="shared" si="14"/>
        <v>0</v>
      </c>
      <c r="T43" s="8">
        <f t="shared" si="58"/>
        <v>0</v>
      </c>
      <c r="U43" s="5" t="b">
        <f t="shared" si="16"/>
        <v>1</v>
      </c>
      <c r="V43" s="8">
        <f t="shared" si="59"/>
        <v>0</v>
      </c>
      <c r="W43" s="8">
        <f t="shared" si="60"/>
        <v>0</v>
      </c>
      <c r="X43" s="5" t="b">
        <f t="shared" si="19"/>
        <v>0</v>
      </c>
      <c r="Y43" s="8">
        <f t="shared" si="61"/>
        <v>0</v>
      </c>
      <c r="Z43" s="8">
        <f t="shared" si="62"/>
        <v>0</v>
      </c>
      <c r="AA43" s="5" t="b">
        <f t="shared" si="22"/>
        <v>0</v>
      </c>
      <c r="AB43" s="8">
        <f t="shared" si="63"/>
        <v>0</v>
      </c>
      <c r="AC43" s="8">
        <f t="shared" si="64"/>
        <v>0</v>
      </c>
      <c r="AD43" s="5" t="b">
        <f t="shared" si="65"/>
        <v>0</v>
      </c>
      <c r="AE43" s="8">
        <f t="shared" si="66"/>
        <v>0</v>
      </c>
      <c r="AF43" s="8">
        <f t="shared" si="67"/>
        <v>0</v>
      </c>
      <c r="AG43" s="5" t="b">
        <f t="shared" si="28"/>
        <v>0</v>
      </c>
      <c r="AH43" s="8">
        <f t="shared" si="68"/>
        <v>0</v>
      </c>
      <c r="AI43" s="8">
        <f t="shared" si="69"/>
        <v>0</v>
      </c>
      <c r="AJ43" s="24">
        <f t="shared" si="70"/>
        <v>0</v>
      </c>
      <c r="AK43" s="8">
        <f t="shared" si="32"/>
        <v>0</v>
      </c>
      <c r="AL43" s="8">
        <f t="shared" si="33"/>
        <v>0</v>
      </c>
      <c r="AM43" s="183" t="b">
        <f t="shared" si="34"/>
        <v>1</v>
      </c>
      <c r="AN43" s="8">
        <f t="shared" si="35"/>
        <v>0</v>
      </c>
      <c r="AO43" s="54">
        <f t="shared" si="36"/>
        <v>4000</v>
      </c>
      <c r="AP43" s="8">
        <f t="shared" si="37"/>
        <v>0</v>
      </c>
      <c r="AQ43" s="8">
        <f t="shared" si="78"/>
        <v>0</v>
      </c>
      <c r="AR43" s="106">
        <f t="shared" si="71"/>
        <v>0</v>
      </c>
      <c r="AS43" s="106">
        <f t="shared" si="72"/>
        <v>0</v>
      </c>
      <c r="AT43" s="106">
        <f t="shared" si="73"/>
        <v>0</v>
      </c>
      <c r="AU43" s="106">
        <f t="shared" si="74"/>
        <v>0</v>
      </c>
      <c r="AV43" s="106">
        <f t="shared" si="75"/>
        <v>0</v>
      </c>
      <c r="AW43" t="b">
        <f t="shared" si="76"/>
        <v>1</v>
      </c>
      <c r="AX43" t="b">
        <f t="shared" si="77"/>
        <v>1</v>
      </c>
    </row>
    <row r="44" spans="1:50" x14ac:dyDescent="0.25">
      <c r="A44" s="1">
        <v>42</v>
      </c>
      <c r="B44" s="10">
        <v>40879</v>
      </c>
      <c r="C44" s="5">
        <v>12</v>
      </c>
      <c r="D44" s="13">
        <v>32</v>
      </c>
      <c r="E44" s="57" t="str">
        <f t="shared" si="46"/>
        <v>Office/Outpatient Visit Est</v>
      </c>
      <c r="F44" t="str">
        <f t="shared" si="47"/>
        <v>Professional Services: Obstetric Care (Bundled)</v>
      </c>
      <c r="G44" t="str">
        <f t="shared" si="48"/>
        <v>Plan Deductible Only</v>
      </c>
      <c r="H44" s="109">
        <f t="shared" si="49"/>
        <v>0</v>
      </c>
      <c r="I44" s="109">
        <f t="shared" si="50"/>
        <v>0</v>
      </c>
      <c r="J44" s="109">
        <f t="shared" si="51"/>
        <v>0</v>
      </c>
      <c r="K44" s="5" t="str">
        <f t="shared" si="52"/>
        <v>None</v>
      </c>
      <c r="L44">
        <f t="shared" si="53"/>
        <v>0</v>
      </c>
      <c r="M44" s="3">
        <f t="shared" si="54"/>
        <v>0</v>
      </c>
      <c r="N44" s="5" t="str">
        <f t="shared" si="55"/>
        <v>None</v>
      </c>
      <c r="O44">
        <f t="shared" si="56"/>
        <v>12</v>
      </c>
      <c r="P44" s="3">
        <f t="shared" si="57"/>
        <v>0</v>
      </c>
      <c r="Q44" s="8">
        <f t="shared" si="12"/>
        <v>0</v>
      </c>
      <c r="R44" s="16">
        <f t="shared" si="13"/>
        <v>0</v>
      </c>
      <c r="S44" s="8">
        <f t="shared" si="14"/>
        <v>0</v>
      </c>
      <c r="T44" s="8">
        <f t="shared" si="58"/>
        <v>0</v>
      </c>
      <c r="U44" s="5" t="b">
        <f t="shared" si="16"/>
        <v>1</v>
      </c>
      <c r="V44" s="8">
        <f t="shared" si="59"/>
        <v>0</v>
      </c>
      <c r="W44" s="8">
        <f t="shared" si="60"/>
        <v>0</v>
      </c>
      <c r="X44" s="5" t="b">
        <f t="shared" si="19"/>
        <v>0</v>
      </c>
      <c r="Y44" s="8">
        <f t="shared" si="61"/>
        <v>0</v>
      </c>
      <c r="Z44" s="8">
        <f t="shared" si="62"/>
        <v>0</v>
      </c>
      <c r="AA44" s="5" t="b">
        <f t="shared" si="22"/>
        <v>0</v>
      </c>
      <c r="AB44" s="8">
        <f t="shared" si="63"/>
        <v>0</v>
      </c>
      <c r="AC44" s="8">
        <f t="shared" si="64"/>
        <v>0</v>
      </c>
      <c r="AD44" s="5" t="b">
        <f t="shared" si="65"/>
        <v>0</v>
      </c>
      <c r="AE44" s="8">
        <f t="shared" si="66"/>
        <v>0</v>
      </c>
      <c r="AF44" s="8">
        <f t="shared" si="67"/>
        <v>0</v>
      </c>
      <c r="AG44" s="5" t="b">
        <f t="shared" si="28"/>
        <v>0</v>
      </c>
      <c r="AH44" s="8">
        <f t="shared" si="68"/>
        <v>0</v>
      </c>
      <c r="AI44" s="8">
        <f t="shared" si="69"/>
        <v>0</v>
      </c>
      <c r="AJ44" s="24">
        <f t="shared" si="70"/>
        <v>0</v>
      </c>
      <c r="AK44" s="8">
        <f t="shared" si="32"/>
        <v>0</v>
      </c>
      <c r="AL44" s="8">
        <f t="shared" si="33"/>
        <v>0</v>
      </c>
      <c r="AM44" s="183" t="b">
        <f t="shared" si="34"/>
        <v>1</v>
      </c>
      <c r="AN44" s="8">
        <f t="shared" si="35"/>
        <v>0</v>
      </c>
      <c r="AO44" s="54">
        <f t="shared" si="36"/>
        <v>4000</v>
      </c>
      <c r="AP44" s="8">
        <f t="shared" si="37"/>
        <v>0</v>
      </c>
      <c r="AQ44" s="8">
        <f t="shared" si="78"/>
        <v>0</v>
      </c>
      <c r="AR44" s="106">
        <f t="shared" si="71"/>
        <v>0</v>
      </c>
      <c r="AS44" s="106">
        <f t="shared" si="72"/>
        <v>0</v>
      </c>
      <c r="AT44" s="106">
        <f t="shared" si="73"/>
        <v>0</v>
      </c>
      <c r="AU44" s="106">
        <f t="shared" si="74"/>
        <v>0</v>
      </c>
      <c r="AV44" s="106">
        <f t="shared" si="75"/>
        <v>0</v>
      </c>
      <c r="AW44" t="b">
        <f t="shared" si="76"/>
        <v>1</v>
      </c>
      <c r="AX44" t="b">
        <f t="shared" si="77"/>
        <v>1</v>
      </c>
    </row>
    <row r="45" spans="1:50" x14ac:dyDescent="0.25">
      <c r="A45" s="1">
        <v>43</v>
      </c>
      <c r="B45" s="10">
        <v>40886</v>
      </c>
      <c r="C45" s="5">
        <v>12</v>
      </c>
      <c r="D45" s="13">
        <v>36</v>
      </c>
      <c r="E45" s="57" t="str">
        <f t="shared" si="46"/>
        <v>Inpatient Maternity Bundle (Bundled line items 4, 5, 34)</v>
      </c>
      <c r="F45" t="str">
        <f t="shared" si="47"/>
        <v>Inpatient Hospital Care (Facility)</v>
      </c>
      <c r="G45" t="str">
        <f t="shared" si="48"/>
        <v>Plan Deductible Only</v>
      </c>
      <c r="H45" s="109">
        <f t="shared" si="49"/>
        <v>8959.380000000001</v>
      </c>
      <c r="I45" s="109">
        <f t="shared" si="50"/>
        <v>0</v>
      </c>
      <c r="J45" s="109">
        <f t="shared" si="51"/>
        <v>8959.380000000001</v>
      </c>
      <c r="K45" s="5" t="str">
        <f t="shared" si="52"/>
        <v>None</v>
      </c>
      <c r="L45">
        <f t="shared" si="53"/>
        <v>0</v>
      </c>
      <c r="M45" s="3">
        <f t="shared" si="54"/>
        <v>0</v>
      </c>
      <c r="N45" s="5" t="str">
        <f t="shared" si="55"/>
        <v>None</v>
      </c>
      <c r="O45">
        <f t="shared" si="56"/>
        <v>0</v>
      </c>
      <c r="P45" s="3">
        <f t="shared" si="57"/>
        <v>0</v>
      </c>
      <c r="Q45" s="8">
        <f t="shared" si="12"/>
        <v>0</v>
      </c>
      <c r="R45" s="16">
        <f t="shared" si="13"/>
        <v>0</v>
      </c>
      <c r="S45" s="8">
        <f t="shared" si="14"/>
        <v>0</v>
      </c>
      <c r="T45" s="8">
        <f t="shared" si="58"/>
        <v>8959.380000000001</v>
      </c>
      <c r="U45" s="5" t="b">
        <f t="shared" si="16"/>
        <v>1</v>
      </c>
      <c r="V45" s="8">
        <f t="shared" si="59"/>
        <v>0</v>
      </c>
      <c r="W45" s="8">
        <f t="shared" si="60"/>
        <v>0</v>
      </c>
      <c r="X45" s="5" t="b">
        <f t="shared" si="19"/>
        <v>0</v>
      </c>
      <c r="Y45" s="8">
        <f t="shared" si="61"/>
        <v>0</v>
      </c>
      <c r="Z45" s="8">
        <f t="shared" si="62"/>
        <v>0</v>
      </c>
      <c r="AA45" s="5" t="b">
        <f t="shared" si="22"/>
        <v>0</v>
      </c>
      <c r="AB45" s="8">
        <f t="shared" si="63"/>
        <v>0</v>
      </c>
      <c r="AC45" s="8">
        <f t="shared" si="64"/>
        <v>0</v>
      </c>
      <c r="AD45" s="5" t="b">
        <f t="shared" si="65"/>
        <v>0</v>
      </c>
      <c r="AE45" s="8">
        <f t="shared" si="66"/>
        <v>0</v>
      </c>
      <c r="AF45" s="8">
        <f t="shared" si="67"/>
        <v>0</v>
      </c>
      <c r="AG45" s="5" t="b">
        <f t="shared" si="28"/>
        <v>0</v>
      </c>
      <c r="AH45" s="8">
        <f t="shared" si="68"/>
        <v>0</v>
      </c>
      <c r="AI45" s="8">
        <f t="shared" si="69"/>
        <v>0</v>
      </c>
      <c r="AJ45" s="24">
        <f t="shared" si="70"/>
        <v>0</v>
      </c>
      <c r="AK45" s="8">
        <f t="shared" si="32"/>
        <v>8959.380000000001</v>
      </c>
      <c r="AL45" s="8">
        <f t="shared" si="33"/>
        <v>0</v>
      </c>
      <c r="AM45" s="183" t="b">
        <f t="shared" si="34"/>
        <v>1</v>
      </c>
      <c r="AN45" s="8">
        <f t="shared" si="35"/>
        <v>0</v>
      </c>
      <c r="AO45" s="54">
        <f t="shared" si="36"/>
        <v>4000</v>
      </c>
      <c r="AP45" s="8">
        <f t="shared" si="37"/>
        <v>0</v>
      </c>
      <c r="AQ45" s="8">
        <f t="shared" si="78"/>
        <v>8959.380000000001</v>
      </c>
      <c r="AR45" s="106">
        <f t="shared" si="71"/>
        <v>0</v>
      </c>
      <c r="AS45" s="106">
        <f t="shared" si="72"/>
        <v>0</v>
      </c>
      <c r="AT45" s="106">
        <f t="shared" si="73"/>
        <v>0</v>
      </c>
      <c r="AU45" s="106">
        <f t="shared" si="74"/>
        <v>0</v>
      </c>
      <c r="AV45" s="106">
        <f t="shared" si="75"/>
        <v>0</v>
      </c>
      <c r="AW45" t="b">
        <f t="shared" si="76"/>
        <v>1</v>
      </c>
      <c r="AX45" t="b">
        <f t="shared" si="77"/>
        <v>1</v>
      </c>
    </row>
    <row r="46" spans="1:50" x14ac:dyDescent="0.25">
      <c r="A46" s="1">
        <v>44</v>
      </c>
      <c r="B46" s="10">
        <v>40886</v>
      </c>
      <c r="C46" s="5">
        <v>12</v>
      </c>
      <c r="D46" s="13">
        <v>32</v>
      </c>
      <c r="E46" s="57" t="str">
        <f t="shared" si="46"/>
        <v>Office/Outpatient Visit Est</v>
      </c>
      <c r="F46" t="str">
        <f t="shared" si="47"/>
        <v>Professional Services: Obstetric Care (Bundled)</v>
      </c>
      <c r="G46" t="str">
        <f t="shared" si="48"/>
        <v>Plan Deductible Only</v>
      </c>
      <c r="H46" s="109">
        <f t="shared" si="49"/>
        <v>0</v>
      </c>
      <c r="I46" s="109">
        <f t="shared" si="50"/>
        <v>0</v>
      </c>
      <c r="J46" s="109">
        <f t="shared" si="51"/>
        <v>0</v>
      </c>
      <c r="K46" s="5" t="str">
        <f t="shared" si="52"/>
        <v>None</v>
      </c>
      <c r="L46">
        <f t="shared" si="53"/>
        <v>1</v>
      </c>
      <c r="M46" s="3">
        <f t="shared" si="54"/>
        <v>0</v>
      </c>
      <c r="N46" s="5" t="str">
        <f t="shared" si="55"/>
        <v>None</v>
      </c>
      <c r="O46">
        <f t="shared" si="56"/>
        <v>13</v>
      </c>
      <c r="P46" s="3">
        <f t="shared" si="57"/>
        <v>0</v>
      </c>
      <c r="Q46" s="8">
        <f t="shared" si="12"/>
        <v>0</v>
      </c>
      <c r="R46" s="16">
        <f t="shared" si="13"/>
        <v>0</v>
      </c>
      <c r="S46" s="8">
        <f t="shared" si="14"/>
        <v>0</v>
      </c>
      <c r="T46" s="8">
        <f t="shared" si="58"/>
        <v>0</v>
      </c>
      <c r="U46" s="5" t="b">
        <f t="shared" si="16"/>
        <v>1</v>
      </c>
      <c r="V46" s="8">
        <f t="shared" si="59"/>
        <v>0</v>
      </c>
      <c r="W46" s="8">
        <f t="shared" si="60"/>
        <v>0</v>
      </c>
      <c r="X46" s="5" t="b">
        <f t="shared" si="19"/>
        <v>0</v>
      </c>
      <c r="Y46" s="8">
        <f t="shared" si="61"/>
        <v>0</v>
      </c>
      <c r="Z46" s="8">
        <f t="shared" si="62"/>
        <v>0</v>
      </c>
      <c r="AA46" s="5" t="b">
        <f t="shared" si="22"/>
        <v>0</v>
      </c>
      <c r="AB46" s="8">
        <f t="shared" si="63"/>
        <v>0</v>
      </c>
      <c r="AC46" s="8">
        <f t="shared" si="64"/>
        <v>0</v>
      </c>
      <c r="AD46" s="5" t="b">
        <f t="shared" si="65"/>
        <v>0</v>
      </c>
      <c r="AE46" s="8">
        <f t="shared" si="66"/>
        <v>0</v>
      </c>
      <c r="AF46" s="8">
        <f t="shared" si="67"/>
        <v>0</v>
      </c>
      <c r="AG46" s="5" t="b">
        <f t="shared" si="28"/>
        <v>0</v>
      </c>
      <c r="AH46" s="8">
        <f t="shared" si="68"/>
        <v>0</v>
      </c>
      <c r="AI46" s="8">
        <f t="shared" si="69"/>
        <v>0</v>
      </c>
      <c r="AJ46" s="24">
        <f t="shared" si="70"/>
        <v>0</v>
      </c>
      <c r="AK46" s="8">
        <f t="shared" si="32"/>
        <v>0</v>
      </c>
      <c r="AL46" s="8">
        <f t="shared" si="33"/>
        <v>0</v>
      </c>
      <c r="AM46" s="183" t="b">
        <f t="shared" si="34"/>
        <v>1</v>
      </c>
      <c r="AN46" s="8">
        <f t="shared" si="35"/>
        <v>0</v>
      </c>
      <c r="AO46" s="54">
        <f t="shared" si="36"/>
        <v>4000</v>
      </c>
      <c r="AP46" s="8">
        <f t="shared" si="37"/>
        <v>0</v>
      </c>
      <c r="AQ46" s="8">
        <f t="shared" si="78"/>
        <v>0</v>
      </c>
      <c r="AR46" s="106">
        <f t="shared" si="71"/>
        <v>0</v>
      </c>
      <c r="AS46" s="106">
        <f t="shared" si="72"/>
        <v>0</v>
      </c>
      <c r="AT46" s="106">
        <f t="shared" si="73"/>
        <v>0</v>
      </c>
      <c r="AU46" s="106">
        <f t="shared" si="74"/>
        <v>0</v>
      </c>
      <c r="AV46" s="106">
        <f t="shared" si="75"/>
        <v>0</v>
      </c>
      <c r="AW46" t="b">
        <f t="shared" si="76"/>
        <v>1</v>
      </c>
      <c r="AX46" t="b">
        <f t="shared" si="77"/>
        <v>1</v>
      </c>
    </row>
    <row r="47" spans="1:50" x14ac:dyDescent="0.25">
      <c r="A47" s="1">
        <v>45</v>
      </c>
      <c r="B47" s="10">
        <v>40886</v>
      </c>
      <c r="C47" s="5">
        <v>12</v>
      </c>
      <c r="D47" s="13">
        <v>3</v>
      </c>
      <c r="E47" s="57" t="str">
        <f t="shared" si="46"/>
        <v>Lactation class</v>
      </c>
      <c r="F47" t="str">
        <f t="shared" si="47"/>
        <v>Preventive Services &amp; Vaccines</v>
      </c>
      <c r="G47" t="str">
        <f t="shared" si="48"/>
        <v>No Cost Sharing</v>
      </c>
      <c r="H47" s="109">
        <f t="shared" si="49"/>
        <v>0</v>
      </c>
      <c r="I47" s="109">
        <f t="shared" si="50"/>
        <v>0</v>
      </c>
      <c r="J47" s="109">
        <f t="shared" si="51"/>
        <v>0</v>
      </c>
      <c r="K47" s="5" t="str">
        <f t="shared" si="52"/>
        <v>None</v>
      </c>
      <c r="L47">
        <f t="shared" si="53"/>
        <v>0</v>
      </c>
      <c r="M47" s="3">
        <f t="shared" si="54"/>
        <v>0</v>
      </c>
      <c r="N47" s="5" t="str">
        <f t="shared" si="55"/>
        <v>None</v>
      </c>
      <c r="O47">
        <f t="shared" si="56"/>
        <v>0</v>
      </c>
      <c r="P47" s="3">
        <f t="shared" si="57"/>
        <v>0</v>
      </c>
      <c r="Q47" s="8">
        <f t="shared" si="12"/>
        <v>0</v>
      </c>
      <c r="R47" s="16">
        <f t="shared" si="13"/>
        <v>0</v>
      </c>
      <c r="S47" s="8">
        <f t="shared" si="14"/>
        <v>0</v>
      </c>
      <c r="T47" s="8">
        <f t="shared" si="58"/>
        <v>0</v>
      </c>
      <c r="U47" s="5" t="b">
        <f t="shared" si="16"/>
        <v>0</v>
      </c>
      <c r="V47" s="8">
        <f t="shared" si="59"/>
        <v>0</v>
      </c>
      <c r="W47" s="8">
        <f t="shared" si="60"/>
        <v>0</v>
      </c>
      <c r="X47" s="5" t="b">
        <f t="shared" si="19"/>
        <v>0</v>
      </c>
      <c r="Y47" s="8">
        <f t="shared" si="61"/>
        <v>0</v>
      </c>
      <c r="Z47" s="8">
        <f t="shared" si="62"/>
        <v>0</v>
      </c>
      <c r="AA47" s="5" t="b">
        <f t="shared" si="22"/>
        <v>0</v>
      </c>
      <c r="AB47" s="8">
        <f t="shared" si="63"/>
        <v>0</v>
      </c>
      <c r="AC47" s="8">
        <f t="shared" si="64"/>
        <v>0</v>
      </c>
      <c r="AD47" s="5" t="b">
        <f t="shared" si="65"/>
        <v>0</v>
      </c>
      <c r="AE47" s="8">
        <f t="shared" si="66"/>
        <v>0</v>
      </c>
      <c r="AF47" s="8">
        <f t="shared" si="67"/>
        <v>0</v>
      </c>
      <c r="AG47" s="5" t="b">
        <f t="shared" si="28"/>
        <v>0</v>
      </c>
      <c r="AH47" s="8">
        <f t="shared" si="68"/>
        <v>0</v>
      </c>
      <c r="AI47" s="8">
        <f t="shared" si="69"/>
        <v>0</v>
      </c>
      <c r="AJ47" s="24">
        <f t="shared" si="70"/>
        <v>0</v>
      </c>
      <c r="AK47" s="8">
        <f t="shared" si="32"/>
        <v>0</v>
      </c>
      <c r="AL47" s="8">
        <f t="shared" si="33"/>
        <v>0</v>
      </c>
      <c r="AM47" s="183" t="b">
        <f t="shared" si="34"/>
        <v>1</v>
      </c>
      <c r="AN47" s="8">
        <f t="shared" si="35"/>
        <v>0</v>
      </c>
      <c r="AO47" s="54">
        <f t="shared" si="36"/>
        <v>4000</v>
      </c>
      <c r="AP47" s="8">
        <f t="shared" si="37"/>
        <v>0</v>
      </c>
      <c r="AQ47" s="8">
        <f t="shared" si="78"/>
        <v>0</v>
      </c>
      <c r="AR47" s="106">
        <f t="shared" si="71"/>
        <v>0</v>
      </c>
      <c r="AS47" s="106">
        <f t="shared" si="72"/>
        <v>0</v>
      </c>
      <c r="AT47" s="106">
        <f t="shared" si="73"/>
        <v>0</v>
      </c>
      <c r="AU47" s="106">
        <f t="shared" si="74"/>
        <v>0</v>
      </c>
      <c r="AV47" s="106">
        <f t="shared" si="75"/>
        <v>0</v>
      </c>
      <c r="AW47" t="b">
        <f t="shared" si="76"/>
        <v>1</v>
      </c>
      <c r="AX47" t="b">
        <f t="shared" si="77"/>
        <v>1</v>
      </c>
    </row>
    <row r="48" spans="1:50" x14ac:dyDescent="0.25">
      <c r="A48" s="1">
        <v>46</v>
      </c>
      <c r="B48" s="10">
        <v>40887</v>
      </c>
      <c r="C48" s="5">
        <v>12</v>
      </c>
      <c r="D48" s="13">
        <v>38</v>
      </c>
      <c r="E48" s="57" t="str">
        <f t="shared" si="46"/>
        <v>Initial hospital or birthing center care, per day, for E/M of normal newborn infant</v>
      </c>
      <c r="F48" t="str">
        <f t="shared" si="47"/>
        <v>Professional Services: Primary Care</v>
      </c>
      <c r="G48" t="str">
        <f t="shared" si="48"/>
        <v>Copayment Only</v>
      </c>
      <c r="H48" s="109">
        <f t="shared" si="49"/>
        <v>99</v>
      </c>
      <c r="I48" s="109">
        <f t="shared" si="50"/>
        <v>0</v>
      </c>
      <c r="J48" s="109">
        <f t="shared" si="51"/>
        <v>99</v>
      </c>
      <c r="K48" s="5" t="str">
        <f t="shared" si="52"/>
        <v>None</v>
      </c>
      <c r="L48">
        <f t="shared" si="53"/>
        <v>0</v>
      </c>
      <c r="M48" s="3">
        <f t="shared" si="54"/>
        <v>0</v>
      </c>
      <c r="N48" s="5" t="str">
        <f t="shared" si="55"/>
        <v>None</v>
      </c>
      <c r="O48">
        <f t="shared" si="56"/>
        <v>0</v>
      </c>
      <c r="P48" s="3">
        <f t="shared" si="57"/>
        <v>0</v>
      </c>
      <c r="Q48" s="8">
        <f t="shared" si="12"/>
        <v>30</v>
      </c>
      <c r="R48" s="16">
        <f t="shared" si="13"/>
        <v>0</v>
      </c>
      <c r="S48" s="8">
        <f t="shared" si="14"/>
        <v>0</v>
      </c>
      <c r="T48" s="8">
        <f t="shared" si="58"/>
        <v>69</v>
      </c>
      <c r="U48" s="5" t="b">
        <f t="shared" si="16"/>
        <v>0</v>
      </c>
      <c r="V48" s="8">
        <f t="shared" si="59"/>
        <v>0</v>
      </c>
      <c r="W48" s="8">
        <f t="shared" si="60"/>
        <v>0</v>
      </c>
      <c r="X48" s="5" t="b">
        <f t="shared" si="19"/>
        <v>0</v>
      </c>
      <c r="Y48" s="8">
        <f t="shared" si="61"/>
        <v>0</v>
      </c>
      <c r="Z48" s="8">
        <f t="shared" si="62"/>
        <v>0</v>
      </c>
      <c r="AA48" s="5" t="b">
        <f t="shared" si="22"/>
        <v>0</v>
      </c>
      <c r="AB48" s="8">
        <f t="shared" si="63"/>
        <v>0</v>
      </c>
      <c r="AC48" s="8">
        <f t="shared" si="64"/>
        <v>0</v>
      </c>
      <c r="AD48" s="5" t="b">
        <f t="shared" si="65"/>
        <v>0</v>
      </c>
      <c r="AE48" s="8">
        <f t="shared" si="66"/>
        <v>0</v>
      </c>
      <c r="AF48" s="8">
        <f t="shared" si="67"/>
        <v>0</v>
      </c>
      <c r="AG48" s="5" t="b">
        <f t="shared" si="28"/>
        <v>0</v>
      </c>
      <c r="AH48" s="8">
        <f t="shared" si="68"/>
        <v>0</v>
      </c>
      <c r="AI48" s="8">
        <f t="shared" si="69"/>
        <v>0</v>
      </c>
      <c r="AJ48" s="24">
        <f t="shared" si="70"/>
        <v>0</v>
      </c>
      <c r="AK48" s="8">
        <f t="shared" si="32"/>
        <v>99</v>
      </c>
      <c r="AL48" s="8">
        <f t="shared" si="33"/>
        <v>30</v>
      </c>
      <c r="AM48" s="183" t="b">
        <f t="shared" si="34"/>
        <v>1</v>
      </c>
      <c r="AN48" s="8">
        <f t="shared" si="35"/>
        <v>30</v>
      </c>
      <c r="AO48" s="54">
        <f t="shared" si="36"/>
        <v>4000</v>
      </c>
      <c r="AP48" s="8">
        <f t="shared" si="37"/>
        <v>30</v>
      </c>
      <c r="AQ48" s="8">
        <f t="shared" si="78"/>
        <v>69</v>
      </c>
      <c r="AR48" s="106">
        <f t="shared" si="71"/>
        <v>0</v>
      </c>
      <c r="AS48" s="106">
        <f t="shared" si="72"/>
        <v>0</v>
      </c>
      <c r="AT48" s="106">
        <f t="shared" si="73"/>
        <v>30</v>
      </c>
      <c r="AU48" s="106">
        <f t="shared" si="74"/>
        <v>0</v>
      </c>
      <c r="AV48" s="106">
        <f t="shared" si="75"/>
        <v>0</v>
      </c>
      <c r="AW48" t="b">
        <f t="shared" si="76"/>
        <v>1</v>
      </c>
      <c r="AX48" t="b">
        <f t="shared" si="77"/>
        <v>1</v>
      </c>
    </row>
    <row r="49" spans="1:50" x14ac:dyDescent="0.25">
      <c r="A49" s="1">
        <v>47</v>
      </c>
      <c r="B49" s="10">
        <v>40888</v>
      </c>
      <c r="C49" s="5">
        <v>12</v>
      </c>
      <c r="D49" s="13">
        <v>38</v>
      </c>
      <c r="E49" s="57" t="str">
        <f t="shared" si="46"/>
        <v>Initial hospital or birthing center care, per day, for E/M of normal newborn infant</v>
      </c>
      <c r="F49" t="str">
        <f t="shared" si="47"/>
        <v>Professional Services: Primary Care</v>
      </c>
      <c r="G49" t="str">
        <f t="shared" si="48"/>
        <v>Copayment Only</v>
      </c>
      <c r="H49" s="109">
        <f t="shared" si="49"/>
        <v>99</v>
      </c>
      <c r="I49" s="109">
        <f t="shared" si="50"/>
        <v>0</v>
      </c>
      <c r="J49" s="109">
        <f t="shared" si="51"/>
        <v>99</v>
      </c>
      <c r="K49" s="5" t="str">
        <f t="shared" si="52"/>
        <v>None</v>
      </c>
      <c r="L49">
        <f t="shared" si="53"/>
        <v>1</v>
      </c>
      <c r="M49" s="3">
        <f t="shared" si="54"/>
        <v>0</v>
      </c>
      <c r="N49" s="5" t="str">
        <f t="shared" si="55"/>
        <v>None</v>
      </c>
      <c r="O49">
        <f t="shared" si="56"/>
        <v>1</v>
      </c>
      <c r="P49" s="3">
        <f t="shared" si="57"/>
        <v>0</v>
      </c>
      <c r="Q49" s="8">
        <f t="shared" si="12"/>
        <v>30</v>
      </c>
      <c r="R49" s="16">
        <f t="shared" si="13"/>
        <v>0</v>
      </c>
      <c r="S49" s="8">
        <f t="shared" si="14"/>
        <v>0</v>
      </c>
      <c r="T49" s="8">
        <f t="shared" si="58"/>
        <v>69</v>
      </c>
      <c r="U49" s="5" t="b">
        <f t="shared" si="16"/>
        <v>0</v>
      </c>
      <c r="V49" s="8">
        <f t="shared" si="59"/>
        <v>0</v>
      </c>
      <c r="W49" s="8">
        <f t="shared" si="60"/>
        <v>0</v>
      </c>
      <c r="X49" s="5" t="b">
        <f t="shared" si="19"/>
        <v>0</v>
      </c>
      <c r="Y49" s="8">
        <f t="shared" si="61"/>
        <v>0</v>
      </c>
      <c r="Z49" s="8">
        <f t="shared" si="62"/>
        <v>0</v>
      </c>
      <c r="AA49" s="5" t="b">
        <f t="shared" si="22"/>
        <v>0</v>
      </c>
      <c r="AB49" s="8">
        <f t="shared" si="63"/>
        <v>0</v>
      </c>
      <c r="AC49" s="8">
        <f t="shared" si="64"/>
        <v>0</v>
      </c>
      <c r="AD49" s="5" t="b">
        <f t="shared" si="65"/>
        <v>0</v>
      </c>
      <c r="AE49" s="8">
        <f t="shared" si="66"/>
        <v>0</v>
      </c>
      <c r="AF49" s="8">
        <f t="shared" si="67"/>
        <v>0</v>
      </c>
      <c r="AG49" s="5" t="b">
        <f t="shared" si="28"/>
        <v>0</v>
      </c>
      <c r="AH49" s="8">
        <f t="shared" si="68"/>
        <v>0</v>
      </c>
      <c r="AI49" s="8">
        <f t="shared" si="69"/>
        <v>0</v>
      </c>
      <c r="AJ49" s="24">
        <f t="shared" si="70"/>
        <v>0</v>
      </c>
      <c r="AK49" s="8">
        <f t="shared" si="32"/>
        <v>99</v>
      </c>
      <c r="AL49" s="8">
        <f t="shared" si="33"/>
        <v>30</v>
      </c>
      <c r="AM49" s="183" t="b">
        <f t="shared" si="34"/>
        <v>1</v>
      </c>
      <c r="AN49" s="8">
        <f t="shared" si="35"/>
        <v>30</v>
      </c>
      <c r="AO49" s="54">
        <f t="shared" si="36"/>
        <v>3970</v>
      </c>
      <c r="AP49" s="8">
        <f t="shared" si="37"/>
        <v>30</v>
      </c>
      <c r="AQ49" s="8">
        <f t="shared" si="78"/>
        <v>69</v>
      </c>
      <c r="AR49" s="106">
        <f t="shared" si="71"/>
        <v>0</v>
      </c>
      <c r="AS49" s="106">
        <f t="shared" si="72"/>
        <v>0</v>
      </c>
      <c r="AT49" s="106">
        <f t="shared" si="73"/>
        <v>30</v>
      </c>
      <c r="AU49" s="106">
        <f t="shared" si="74"/>
        <v>0</v>
      </c>
      <c r="AV49" s="106">
        <f t="shared" si="75"/>
        <v>0</v>
      </c>
      <c r="AW49" t="b">
        <f t="shared" si="76"/>
        <v>1</v>
      </c>
      <c r="AX49" t="b">
        <f t="shared" si="77"/>
        <v>1</v>
      </c>
    </row>
    <row r="50" spans="1:50" x14ac:dyDescent="0.25">
      <c r="A50" s="1">
        <v>48</v>
      </c>
      <c r="B50" s="10">
        <v>40888</v>
      </c>
      <c r="C50" s="5">
        <v>12</v>
      </c>
      <c r="D50" s="13">
        <v>7</v>
      </c>
      <c r="E50" s="57" t="str">
        <f t="shared" si="46"/>
        <v>Docusate sodium (OTC) [1 pill QD]</v>
      </c>
      <c r="F50" t="str">
        <f t="shared" si="47"/>
        <v>Over-the-counter Drugs</v>
      </c>
      <c r="G50" t="str">
        <f t="shared" si="48"/>
        <v>Not Covered</v>
      </c>
      <c r="H50" s="109">
        <f t="shared" si="49"/>
        <v>11.195267857142857</v>
      </c>
      <c r="I50" s="109">
        <f t="shared" si="50"/>
        <v>11.195267857142857</v>
      </c>
      <c r="J50" s="109">
        <f t="shared" si="51"/>
        <v>0</v>
      </c>
      <c r="K50" s="5" t="str">
        <f t="shared" si="52"/>
        <v>None</v>
      </c>
      <c r="L50">
        <f t="shared" si="53"/>
        <v>0</v>
      </c>
      <c r="M50" s="3">
        <f t="shared" si="54"/>
        <v>0</v>
      </c>
      <c r="N50" s="5" t="str">
        <f t="shared" si="55"/>
        <v>None</v>
      </c>
      <c r="O50">
        <f t="shared" si="56"/>
        <v>0</v>
      </c>
      <c r="P50" s="3">
        <f t="shared" si="57"/>
        <v>0</v>
      </c>
      <c r="Q50" s="8">
        <f t="shared" si="12"/>
        <v>0</v>
      </c>
      <c r="R50" s="16">
        <f t="shared" si="13"/>
        <v>0</v>
      </c>
      <c r="S50" s="8">
        <f t="shared" si="14"/>
        <v>0</v>
      </c>
      <c r="T50" s="8">
        <f t="shared" si="58"/>
        <v>0</v>
      </c>
      <c r="U50" s="5" t="b">
        <f t="shared" si="16"/>
        <v>0</v>
      </c>
      <c r="V50" s="8">
        <f t="shared" si="59"/>
        <v>0</v>
      </c>
      <c r="W50" s="8">
        <f t="shared" si="60"/>
        <v>0</v>
      </c>
      <c r="X50" s="5" t="b">
        <f t="shared" si="19"/>
        <v>0</v>
      </c>
      <c r="Y50" s="8">
        <f t="shared" si="61"/>
        <v>0</v>
      </c>
      <c r="Z50" s="8">
        <f t="shared" si="62"/>
        <v>0</v>
      </c>
      <c r="AA50" s="5" t="b">
        <f t="shared" si="22"/>
        <v>0</v>
      </c>
      <c r="AB50" s="8">
        <f t="shared" si="63"/>
        <v>0</v>
      </c>
      <c r="AC50" s="8">
        <f t="shared" si="64"/>
        <v>0</v>
      </c>
      <c r="AD50" s="5" t="b">
        <f t="shared" si="65"/>
        <v>0</v>
      </c>
      <c r="AE50" s="8">
        <f t="shared" si="66"/>
        <v>0</v>
      </c>
      <c r="AF50" s="8">
        <f t="shared" si="67"/>
        <v>0</v>
      </c>
      <c r="AG50" s="5" t="b">
        <f t="shared" si="28"/>
        <v>0</v>
      </c>
      <c r="AH50" s="8">
        <f t="shared" si="68"/>
        <v>0</v>
      </c>
      <c r="AI50" s="8">
        <f t="shared" si="69"/>
        <v>0</v>
      </c>
      <c r="AJ50" s="24">
        <f t="shared" si="70"/>
        <v>0</v>
      </c>
      <c r="AK50" s="8">
        <f t="shared" si="32"/>
        <v>0</v>
      </c>
      <c r="AL50" s="8">
        <f t="shared" si="33"/>
        <v>0</v>
      </c>
      <c r="AM50" s="183" t="b">
        <f t="shared" si="34"/>
        <v>0</v>
      </c>
      <c r="AN50" s="8">
        <f t="shared" si="35"/>
        <v>0</v>
      </c>
      <c r="AO50" s="54">
        <f t="shared" si="36"/>
        <v>0</v>
      </c>
      <c r="AP50" s="8">
        <f t="shared" si="37"/>
        <v>0</v>
      </c>
      <c r="AQ50" s="8">
        <f t="shared" si="78"/>
        <v>0</v>
      </c>
      <c r="AR50" s="106">
        <f t="shared" si="71"/>
        <v>11.195267857142857</v>
      </c>
      <c r="AS50" s="106">
        <f t="shared" si="72"/>
        <v>0</v>
      </c>
      <c r="AT50" s="106">
        <f t="shared" si="73"/>
        <v>0</v>
      </c>
      <c r="AU50" s="106">
        <f t="shared" si="74"/>
        <v>0</v>
      </c>
      <c r="AV50" s="106">
        <f t="shared" si="75"/>
        <v>0</v>
      </c>
      <c r="AW50" t="b">
        <f t="shared" si="76"/>
        <v>1</v>
      </c>
      <c r="AX50" t="b">
        <f t="shared" si="77"/>
        <v>1</v>
      </c>
    </row>
    <row r="51" spans="1:50" x14ac:dyDescent="0.25">
      <c r="A51" s="1">
        <v>49</v>
      </c>
      <c r="B51" s="10">
        <v>40888</v>
      </c>
      <c r="C51" s="5">
        <v>12</v>
      </c>
      <c r="D51" s="13">
        <v>2</v>
      </c>
      <c r="E51" s="57" t="str">
        <f t="shared" si="46"/>
        <v>Ibuprofen 800mg (Rx) [1 pill Q8H PRN; 60 pills]</v>
      </c>
      <c r="F51" t="str">
        <f t="shared" si="47"/>
        <v>Prescription Drugs: Generic</v>
      </c>
      <c r="G51" t="str">
        <f t="shared" si="48"/>
        <v>Rx Deductible+Co-pay</v>
      </c>
      <c r="H51" s="109">
        <f t="shared" si="49"/>
        <v>11.6875</v>
      </c>
      <c r="I51" s="109">
        <f t="shared" si="50"/>
        <v>0</v>
      </c>
      <c r="J51" s="109">
        <f t="shared" si="51"/>
        <v>11.6875</v>
      </c>
      <c r="K51" s="5" t="str">
        <f t="shared" si="52"/>
        <v>None</v>
      </c>
      <c r="L51">
        <f t="shared" si="53"/>
        <v>0</v>
      </c>
      <c r="M51" s="3">
        <f t="shared" si="54"/>
        <v>0</v>
      </c>
      <c r="N51" s="5" t="str">
        <f t="shared" si="55"/>
        <v>None</v>
      </c>
      <c r="O51">
        <f t="shared" si="56"/>
        <v>0</v>
      </c>
      <c r="P51" s="3">
        <f t="shared" si="57"/>
        <v>0</v>
      </c>
      <c r="Q51" s="8">
        <f t="shared" si="12"/>
        <v>10</v>
      </c>
      <c r="R51" s="16">
        <f t="shared" si="13"/>
        <v>0</v>
      </c>
      <c r="S51" s="8">
        <f t="shared" si="14"/>
        <v>0</v>
      </c>
      <c r="T51" s="8">
        <f t="shared" si="58"/>
        <v>1.6875</v>
      </c>
      <c r="U51" s="5" t="b">
        <f t="shared" si="16"/>
        <v>0</v>
      </c>
      <c r="V51" s="8">
        <f t="shared" si="59"/>
        <v>0</v>
      </c>
      <c r="W51" s="8">
        <f t="shared" si="60"/>
        <v>0</v>
      </c>
      <c r="X51" s="5" t="b">
        <f t="shared" si="19"/>
        <v>1</v>
      </c>
      <c r="Y51" s="8">
        <f t="shared" si="61"/>
        <v>100</v>
      </c>
      <c r="Z51" s="8">
        <f t="shared" si="62"/>
        <v>1.6875</v>
      </c>
      <c r="AA51" s="5" t="b">
        <f t="shared" si="22"/>
        <v>0</v>
      </c>
      <c r="AB51" s="8">
        <f t="shared" si="63"/>
        <v>0</v>
      </c>
      <c r="AC51" s="8">
        <f t="shared" si="64"/>
        <v>0</v>
      </c>
      <c r="AD51" s="5" t="b">
        <f t="shared" si="65"/>
        <v>0</v>
      </c>
      <c r="AE51" s="8">
        <f t="shared" si="66"/>
        <v>0</v>
      </c>
      <c r="AF51" s="8">
        <f t="shared" si="67"/>
        <v>0</v>
      </c>
      <c r="AG51" s="5" t="b">
        <f t="shared" si="28"/>
        <v>0</v>
      </c>
      <c r="AH51" s="8">
        <f t="shared" si="68"/>
        <v>0</v>
      </c>
      <c r="AI51" s="8">
        <f t="shared" si="69"/>
        <v>0</v>
      </c>
      <c r="AJ51" s="24">
        <f t="shared" si="70"/>
        <v>1.6875</v>
      </c>
      <c r="AK51" s="8">
        <f t="shared" si="32"/>
        <v>10</v>
      </c>
      <c r="AL51" s="8">
        <f t="shared" si="33"/>
        <v>11.6875</v>
      </c>
      <c r="AM51" s="183" t="b">
        <f t="shared" si="34"/>
        <v>1</v>
      </c>
      <c r="AN51" s="8">
        <f t="shared" si="35"/>
        <v>11.6875</v>
      </c>
      <c r="AO51" s="54">
        <f t="shared" si="36"/>
        <v>3940</v>
      </c>
      <c r="AP51" s="8">
        <f t="shared" si="37"/>
        <v>11.6875</v>
      </c>
      <c r="AQ51" s="8">
        <f t="shared" si="78"/>
        <v>0</v>
      </c>
      <c r="AR51" s="106">
        <f t="shared" si="71"/>
        <v>0</v>
      </c>
      <c r="AS51" s="106">
        <f t="shared" si="72"/>
        <v>0</v>
      </c>
      <c r="AT51" s="106">
        <f t="shared" si="73"/>
        <v>10</v>
      </c>
      <c r="AU51" s="106">
        <f t="shared" si="74"/>
        <v>0</v>
      </c>
      <c r="AV51" s="106">
        <f t="shared" si="75"/>
        <v>1.6875</v>
      </c>
      <c r="AW51" t="b">
        <f t="shared" si="76"/>
        <v>1</v>
      </c>
      <c r="AX51" t="b">
        <f t="shared" si="77"/>
        <v>1</v>
      </c>
    </row>
    <row r="52" spans="1:50" x14ac:dyDescent="0.25">
      <c r="A52" s="1">
        <v>50</v>
      </c>
      <c r="B52" s="10">
        <v>40888</v>
      </c>
      <c r="C52" s="5">
        <v>12</v>
      </c>
      <c r="D52" s="13">
        <v>1</v>
      </c>
      <c r="E52" s="57" t="str">
        <f t="shared" si="46"/>
        <v>Oxycodone/APAP 5mg/325mg (Rx) [1 pill Q6H PRN; 15 pills]</v>
      </c>
      <c r="F52" t="str">
        <f t="shared" si="47"/>
        <v>Prescription Drugs: Generic</v>
      </c>
      <c r="G52" t="str">
        <f t="shared" si="48"/>
        <v>Rx Deductible+Co-pay</v>
      </c>
      <c r="H52" s="109">
        <f t="shared" si="49"/>
        <v>6.45</v>
      </c>
      <c r="I52" s="109">
        <f t="shared" si="50"/>
        <v>0</v>
      </c>
      <c r="J52" s="109">
        <f t="shared" si="51"/>
        <v>6.45</v>
      </c>
      <c r="K52" s="5" t="str">
        <f t="shared" si="52"/>
        <v>None</v>
      </c>
      <c r="L52">
        <f t="shared" si="53"/>
        <v>0</v>
      </c>
      <c r="M52" s="3">
        <f t="shared" si="54"/>
        <v>0</v>
      </c>
      <c r="N52" s="5" t="str">
        <f t="shared" si="55"/>
        <v>None</v>
      </c>
      <c r="O52">
        <f t="shared" si="56"/>
        <v>0</v>
      </c>
      <c r="P52" s="3">
        <f t="shared" si="57"/>
        <v>0</v>
      </c>
      <c r="Q52" s="8">
        <f t="shared" si="12"/>
        <v>10</v>
      </c>
      <c r="R52" s="16">
        <f t="shared" si="13"/>
        <v>0</v>
      </c>
      <c r="S52" s="8">
        <f t="shared" si="14"/>
        <v>0</v>
      </c>
      <c r="T52" s="8">
        <f t="shared" si="58"/>
        <v>0</v>
      </c>
      <c r="U52" s="5" t="b">
        <f t="shared" si="16"/>
        <v>0</v>
      </c>
      <c r="V52" s="8">
        <f t="shared" si="59"/>
        <v>0</v>
      </c>
      <c r="W52" s="8">
        <f t="shared" si="60"/>
        <v>0</v>
      </c>
      <c r="X52" s="5" t="b">
        <f t="shared" si="19"/>
        <v>1</v>
      </c>
      <c r="Y52" s="8">
        <f t="shared" si="61"/>
        <v>98.3125</v>
      </c>
      <c r="Z52" s="8">
        <f t="shared" si="62"/>
        <v>0</v>
      </c>
      <c r="AA52" s="5" t="b">
        <f t="shared" si="22"/>
        <v>0</v>
      </c>
      <c r="AB52" s="8">
        <f t="shared" si="63"/>
        <v>0</v>
      </c>
      <c r="AC52" s="8">
        <f t="shared" si="64"/>
        <v>0</v>
      </c>
      <c r="AD52" s="5" t="b">
        <f t="shared" si="65"/>
        <v>0</v>
      </c>
      <c r="AE52" s="8">
        <f t="shared" si="66"/>
        <v>0</v>
      </c>
      <c r="AF52" s="8">
        <f t="shared" si="67"/>
        <v>0</v>
      </c>
      <c r="AG52" s="5" t="b">
        <f t="shared" si="28"/>
        <v>0</v>
      </c>
      <c r="AH52" s="8">
        <f t="shared" si="68"/>
        <v>0</v>
      </c>
      <c r="AI52" s="8">
        <f t="shared" si="69"/>
        <v>0</v>
      </c>
      <c r="AJ52" s="24">
        <f t="shared" si="70"/>
        <v>0</v>
      </c>
      <c r="AK52" s="8">
        <f t="shared" si="32"/>
        <v>6.45</v>
      </c>
      <c r="AL52" s="8">
        <f t="shared" si="33"/>
        <v>10</v>
      </c>
      <c r="AM52" s="183" t="b">
        <f t="shared" si="34"/>
        <v>1</v>
      </c>
      <c r="AN52" s="8">
        <f t="shared" si="35"/>
        <v>10</v>
      </c>
      <c r="AO52" s="54">
        <f t="shared" si="36"/>
        <v>3928.3125</v>
      </c>
      <c r="AP52" s="8">
        <f t="shared" si="37"/>
        <v>10</v>
      </c>
      <c r="AQ52" s="8">
        <f t="shared" si="78"/>
        <v>0</v>
      </c>
      <c r="AR52" s="106">
        <f t="shared" si="71"/>
        <v>0</v>
      </c>
      <c r="AS52" s="106">
        <f t="shared" si="72"/>
        <v>0</v>
      </c>
      <c r="AT52" s="106">
        <f t="shared" si="73"/>
        <v>10</v>
      </c>
      <c r="AU52" s="106">
        <f t="shared" si="74"/>
        <v>0</v>
      </c>
      <c r="AV52" s="106">
        <f t="shared" si="75"/>
        <v>0</v>
      </c>
      <c r="AW52" t="b">
        <f t="shared" si="76"/>
        <v>1</v>
      </c>
      <c r="AX52" t="b">
        <f t="shared" si="77"/>
        <v>0</v>
      </c>
    </row>
    <row r="53" spans="1:50" x14ac:dyDescent="0.25">
      <c r="A53" s="1">
        <v>51</v>
      </c>
      <c r="B53" s="10">
        <v>40900</v>
      </c>
      <c r="C53" s="5">
        <v>12</v>
      </c>
      <c r="D53" s="13">
        <v>33</v>
      </c>
      <c r="E53" s="57" t="str">
        <f t="shared" si="46"/>
        <v>Office/Outpatient Visit Est</v>
      </c>
      <c r="F53" t="str">
        <f t="shared" si="47"/>
        <v>Professional Services: Obstetric Care (Bundled)</v>
      </c>
      <c r="G53" t="str">
        <f t="shared" si="48"/>
        <v>Plan Deductible Only</v>
      </c>
      <c r="H53" s="109">
        <f t="shared" si="49"/>
        <v>0</v>
      </c>
      <c r="I53" s="109">
        <f t="shared" si="50"/>
        <v>0</v>
      </c>
      <c r="J53" s="109">
        <f t="shared" si="51"/>
        <v>0</v>
      </c>
      <c r="K53" s="5" t="str">
        <f t="shared" si="52"/>
        <v>None</v>
      </c>
      <c r="L53">
        <f t="shared" si="53"/>
        <v>0</v>
      </c>
      <c r="M53" s="3">
        <f t="shared" si="54"/>
        <v>0</v>
      </c>
      <c r="N53" s="5" t="str">
        <f t="shared" si="55"/>
        <v>None</v>
      </c>
      <c r="O53">
        <f t="shared" si="56"/>
        <v>0</v>
      </c>
      <c r="P53" s="3">
        <f t="shared" si="57"/>
        <v>0</v>
      </c>
      <c r="Q53" s="8">
        <f t="shared" si="12"/>
        <v>0</v>
      </c>
      <c r="R53" s="16">
        <f t="shared" si="13"/>
        <v>0</v>
      </c>
      <c r="S53" s="8">
        <f t="shared" si="14"/>
        <v>0</v>
      </c>
      <c r="T53" s="8">
        <f t="shared" si="58"/>
        <v>0</v>
      </c>
      <c r="U53" s="5" t="b">
        <f t="shared" si="16"/>
        <v>1</v>
      </c>
      <c r="V53" s="8">
        <f t="shared" si="59"/>
        <v>0</v>
      </c>
      <c r="W53" s="8">
        <f t="shared" si="60"/>
        <v>0</v>
      </c>
      <c r="X53" s="5" t="b">
        <f t="shared" si="19"/>
        <v>0</v>
      </c>
      <c r="Y53" s="8">
        <f t="shared" si="61"/>
        <v>0</v>
      </c>
      <c r="Z53" s="8">
        <f t="shared" si="62"/>
        <v>0</v>
      </c>
      <c r="AA53" s="5" t="b">
        <f t="shared" si="22"/>
        <v>0</v>
      </c>
      <c r="AB53" s="8">
        <f t="shared" si="63"/>
        <v>0</v>
      </c>
      <c r="AC53" s="8">
        <f t="shared" si="64"/>
        <v>0</v>
      </c>
      <c r="AD53" s="5" t="b">
        <f t="shared" si="65"/>
        <v>0</v>
      </c>
      <c r="AE53" s="8">
        <f t="shared" si="66"/>
        <v>0</v>
      </c>
      <c r="AF53" s="8">
        <f t="shared" si="67"/>
        <v>0</v>
      </c>
      <c r="AG53" s="5" t="b">
        <f t="shared" si="28"/>
        <v>0</v>
      </c>
      <c r="AH53" s="8">
        <f t="shared" si="68"/>
        <v>0</v>
      </c>
      <c r="AI53" s="8">
        <f t="shared" si="69"/>
        <v>0</v>
      </c>
      <c r="AJ53" s="24">
        <f t="shared" si="70"/>
        <v>0</v>
      </c>
      <c r="AK53" s="8">
        <f t="shared" si="32"/>
        <v>0</v>
      </c>
      <c r="AL53" s="8">
        <f t="shared" si="33"/>
        <v>0</v>
      </c>
      <c r="AM53" s="183" t="b">
        <f t="shared" si="34"/>
        <v>1</v>
      </c>
      <c r="AN53" s="8">
        <f t="shared" si="35"/>
        <v>0</v>
      </c>
      <c r="AO53" s="54">
        <f t="shared" si="36"/>
        <v>3918.3125</v>
      </c>
      <c r="AP53" s="8">
        <f t="shared" si="37"/>
        <v>0</v>
      </c>
      <c r="AQ53" s="8">
        <f t="shared" si="78"/>
        <v>0</v>
      </c>
      <c r="AR53" s="106">
        <f t="shared" si="71"/>
        <v>0</v>
      </c>
      <c r="AS53" s="106">
        <f t="shared" si="72"/>
        <v>0</v>
      </c>
      <c r="AT53" s="106">
        <f t="shared" si="73"/>
        <v>0</v>
      </c>
      <c r="AU53" s="106">
        <f t="shared" si="74"/>
        <v>0</v>
      </c>
      <c r="AV53" s="106">
        <f t="shared" si="75"/>
        <v>0</v>
      </c>
      <c r="AW53" t="b">
        <f t="shared" si="76"/>
        <v>1</v>
      </c>
      <c r="AX53" t="b">
        <f t="shared" si="77"/>
        <v>1</v>
      </c>
    </row>
    <row r="54" spans="1:50" x14ac:dyDescent="0.25">
      <c r="A54" s="1">
        <v>52</v>
      </c>
      <c r="B54" s="10">
        <v>40888</v>
      </c>
      <c r="C54" s="5">
        <f t="shared" ref="C54:C56" si="79">MONTH(B54)</f>
        <v>12</v>
      </c>
      <c r="D54" s="13">
        <v>2</v>
      </c>
      <c r="E54" s="57" t="str">
        <f t="shared" si="46"/>
        <v>Ibuprofen 800mg (Rx) [1 pill Q8H PRN; 60 pills]</v>
      </c>
      <c r="F54" t="str">
        <f t="shared" si="47"/>
        <v>Prescription Drugs: Generic</v>
      </c>
      <c r="G54" t="str">
        <f t="shared" si="48"/>
        <v>Rx Deductible+Co-pay</v>
      </c>
      <c r="H54" s="109">
        <f t="shared" si="49"/>
        <v>11.6875</v>
      </c>
      <c r="I54" s="109">
        <f t="shared" si="50"/>
        <v>0</v>
      </c>
      <c r="J54" s="109">
        <f t="shared" si="51"/>
        <v>11.6875</v>
      </c>
      <c r="K54" s="5" t="str">
        <f t="shared" si="52"/>
        <v>None</v>
      </c>
      <c r="L54">
        <f t="shared" si="53"/>
        <v>1</v>
      </c>
      <c r="M54" s="3">
        <f t="shared" si="54"/>
        <v>0</v>
      </c>
      <c r="N54" s="5" t="str">
        <f t="shared" si="55"/>
        <v>None</v>
      </c>
      <c r="O54">
        <f t="shared" si="56"/>
        <v>1</v>
      </c>
      <c r="P54" s="3">
        <f t="shared" si="57"/>
        <v>0</v>
      </c>
      <c r="Q54" s="8">
        <f t="shared" si="12"/>
        <v>10</v>
      </c>
      <c r="R54" s="16">
        <f t="shared" si="13"/>
        <v>0</v>
      </c>
      <c r="S54" s="8">
        <f t="shared" si="14"/>
        <v>0</v>
      </c>
      <c r="T54" s="8">
        <f t="shared" si="58"/>
        <v>1.6875</v>
      </c>
      <c r="U54" s="5" t="b">
        <f t="shared" si="16"/>
        <v>0</v>
      </c>
      <c r="V54" s="8">
        <f t="shared" si="59"/>
        <v>0</v>
      </c>
      <c r="W54" s="8">
        <f t="shared" si="60"/>
        <v>0</v>
      </c>
      <c r="X54" s="5" t="b">
        <f t="shared" si="19"/>
        <v>1</v>
      </c>
      <c r="Y54" s="8">
        <f t="shared" si="61"/>
        <v>98.3125</v>
      </c>
      <c r="Z54" s="8">
        <f t="shared" si="62"/>
        <v>1.6875</v>
      </c>
      <c r="AA54" s="5" t="b">
        <f t="shared" si="22"/>
        <v>0</v>
      </c>
      <c r="AB54" s="8">
        <f t="shared" si="63"/>
        <v>0</v>
      </c>
      <c r="AC54" s="8">
        <f t="shared" si="64"/>
        <v>0</v>
      </c>
      <c r="AD54" s="5" t="b">
        <f t="shared" si="65"/>
        <v>0</v>
      </c>
      <c r="AE54" s="8">
        <f t="shared" si="66"/>
        <v>0</v>
      </c>
      <c r="AF54" s="8">
        <f t="shared" si="67"/>
        <v>0</v>
      </c>
      <c r="AG54" s="5" t="b">
        <f t="shared" si="28"/>
        <v>0</v>
      </c>
      <c r="AH54" s="8">
        <f t="shared" si="68"/>
        <v>0</v>
      </c>
      <c r="AI54" s="8">
        <f t="shared" si="69"/>
        <v>0</v>
      </c>
      <c r="AJ54" s="24">
        <f t="shared" si="70"/>
        <v>1.6875</v>
      </c>
      <c r="AK54" s="8">
        <f t="shared" si="32"/>
        <v>10</v>
      </c>
      <c r="AL54" s="8">
        <f t="shared" si="33"/>
        <v>11.6875</v>
      </c>
      <c r="AM54" s="183" t="b">
        <f t="shared" si="34"/>
        <v>1</v>
      </c>
      <c r="AN54" s="8">
        <f t="shared" si="35"/>
        <v>11.6875</v>
      </c>
      <c r="AO54" s="54">
        <f t="shared" si="36"/>
        <v>3918.3125</v>
      </c>
      <c r="AP54" s="8">
        <f t="shared" si="37"/>
        <v>11.6875</v>
      </c>
      <c r="AQ54" s="8">
        <f t="shared" si="78"/>
        <v>0</v>
      </c>
      <c r="AR54" s="106">
        <f t="shared" si="71"/>
        <v>0</v>
      </c>
      <c r="AS54" s="106">
        <f t="shared" si="72"/>
        <v>0</v>
      </c>
      <c r="AT54" s="106">
        <f t="shared" si="73"/>
        <v>10</v>
      </c>
      <c r="AU54" s="106">
        <f t="shared" si="74"/>
        <v>0</v>
      </c>
      <c r="AV54" s="106">
        <f t="shared" si="75"/>
        <v>1.6875</v>
      </c>
      <c r="AW54" t="b">
        <f t="shared" si="76"/>
        <v>1</v>
      </c>
      <c r="AX54" t="b">
        <f t="shared" si="77"/>
        <v>1</v>
      </c>
    </row>
    <row r="55" spans="1:50" x14ac:dyDescent="0.25">
      <c r="A55" s="1">
        <v>53</v>
      </c>
      <c r="B55" s="10">
        <v>40888</v>
      </c>
      <c r="C55" s="5">
        <f t="shared" si="79"/>
        <v>12</v>
      </c>
      <c r="D55" s="13">
        <v>1</v>
      </c>
      <c r="E55" s="57" t="str">
        <f t="shared" si="46"/>
        <v>Oxycodone/APAP 5mg/325mg (Rx) [1 pill Q6H PRN; 15 pills]</v>
      </c>
      <c r="F55" t="str">
        <f t="shared" si="47"/>
        <v>Prescription Drugs: Generic</v>
      </c>
      <c r="G55" t="str">
        <f t="shared" si="48"/>
        <v>Rx Deductible+Co-pay</v>
      </c>
      <c r="H55" s="109">
        <f t="shared" si="49"/>
        <v>6.45</v>
      </c>
      <c r="I55" s="109">
        <f t="shared" si="50"/>
        <v>0</v>
      </c>
      <c r="J55" s="109">
        <f t="shared" si="51"/>
        <v>6.45</v>
      </c>
      <c r="K55" s="5" t="str">
        <f t="shared" si="52"/>
        <v>None</v>
      </c>
      <c r="L55">
        <f t="shared" si="53"/>
        <v>1</v>
      </c>
      <c r="M55" s="3">
        <f t="shared" si="54"/>
        <v>0</v>
      </c>
      <c r="N55" s="5" t="str">
        <f t="shared" si="55"/>
        <v>None</v>
      </c>
      <c r="O55">
        <f t="shared" si="56"/>
        <v>1</v>
      </c>
      <c r="P55" s="3">
        <f t="shared" si="57"/>
        <v>0</v>
      </c>
      <c r="Q55" s="8">
        <f t="shared" si="12"/>
        <v>10</v>
      </c>
      <c r="R55" s="16">
        <f t="shared" si="13"/>
        <v>0</v>
      </c>
      <c r="S55" s="8">
        <f t="shared" si="14"/>
        <v>0</v>
      </c>
      <c r="T55" s="8">
        <f t="shared" si="58"/>
        <v>0</v>
      </c>
      <c r="U55" s="5" t="b">
        <f t="shared" si="16"/>
        <v>0</v>
      </c>
      <c r="V55" s="8">
        <f t="shared" si="59"/>
        <v>0</v>
      </c>
      <c r="W55" s="8">
        <f t="shared" si="60"/>
        <v>0</v>
      </c>
      <c r="X55" s="5" t="b">
        <f t="shared" si="19"/>
        <v>1</v>
      </c>
      <c r="Y55" s="8">
        <f t="shared" si="61"/>
        <v>96.625</v>
      </c>
      <c r="Z55" s="8">
        <f t="shared" si="62"/>
        <v>0</v>
      </c>
      <c r="AA55" s="5" t="b">
        <f t="shared" si="22"/>
        <v>0</v>
      </c>
      <c r="AB55" s="8">
        <f t="shared" si="63"/>
        <v>0</v>
      </c>
      <c r="AC55" s="8">
        <f t="shared" si="64"/>
        <v>0</v>
      </c>
      <c r="AD55" s="5" t="b">
        <f t="shared" si="65"/>
        <v>0</v>
      </c>
      <c r="AE55" s="8">
        <f t="shared" si="66"/>
        <v>0</v>
      </c>
      <c r="AF55" s="8">
        <f t="shared" si="67"/>
        <v>0</v>
      </c>
      <c r="AG55" s="5" t="b">
        <f t="shared" si="28"/>
        <v>0</v>
      </c>
      <c r="AH55" s="8">
        <f t="shared" si="68"/>
        <v>0</v>
      </c>
      <c r="AI55" s="8">
        <f t="shared" si="69"/>
        <v>0</v>
      </c>
      <c r="AJ55" s="24">
        <f t="shared" si="70"/>
        <v>0</v>
      </c>
      <c r="AK55" s="8">
        <f t="shared" si="32"/>
        <v>6.45</v>
      </c>
      <c r="AL55" s="8">
        <f t="shared" si="33"/>
        <v>10</v>
      </c>
      <c r="AM55" s="183" t="b">
        <f t="shared" si="34"/>
        <v>1</v>
      </c>
      <c r="AN55" s="8">
        <f t="shared" si="35"/>
        <v>10</v>
      </c>
      <c r="AO55" s="54">
        <f t="shared" si="36"/>
        <v>3906.625</v>
      </c>
      <c r="AP55" s="8">
        <f t="shared" si="37"/>
        <v>10</v>
      </c>
      <c r="AQ55" s="8">
        <f t="shared" si="78"/>
        <v>0</v>
      </c>
      <c r="AR55" s="106">
        <f t="shared" si="71"/>
        <v>0</v>
      </c>
      <c r="AS55" s="106">
        <f t="shared" si="72"/>
        <v>0</v>
      </c>
      <c r="AT55" s="106">
        <f t="shared" si="73"/>
        <v>10</v>
      </c>
      <c r="AU55" s="106">
        <f t="shared" si="74"/>
        <v>0</v>
      </c>
      <c r="AV55" s="106">
        <f t="shared" si="75"/>
        <v>0</v>
      </c>
      <c r="AW55" t="b">
        <f t="shared" si="76"/>
        <v>1</v>
      </c>
      <c r="AX55" t="b">
        <f t="shared" si="77"/>
        <v>0</v>
      </c>
    </row>
    <row r="56" spans="1:50" x14ac:dyDescent="0.25">
      <c r="A56" s="1">
        <v>54</v>
      </c>
      <c r="B56" s="10">
        <v>40900</v>
      </c>
      <c r="C56" s="5">
        <f t="shared" si="79"/>
        <v>12</v>
      </c>
      <c r="D56" s="13">
        <v>33</v>
      </c>
      <c r="E56" s="57" t="str">
        <f t="shared" si="46"/>
        <v>Office/Outpatient Visit Est</v>
      </c>
      <c r="F56" t="str">
        <f t="shared" si="47"/>
        <v>Professional Services: Obstetric Care (Bundled)</v>
      </c>
      <c r="G56" t="str">
        <f t="shared" si="48"/>
        <v>Plan Deductible Only</v>
      </c>
      <c r="H56" s="109">
        <f t="shared" si="49"/>
        <v>0</v>
      </c>
      <c r="I56" s="109">
        <f t="shared" si="50"/>
        <v>0</v>
      </c>
      <c r="J56" s="109">
        <f t="shared" si="51"/>
        <v>0</v>
      </c>
      <c r="K56" s="5" t="str">
        <f t="shared" si="52"/>
        <v>None</v>
      </c>
      <c r="L56">
        <f t="shared" si="53"/>
        <v>1</v>
      </c>
      <c r="M56" s="3">
        <f t="shared" si="54"/>
        <v>0</v>
      </c>
      <c r="N56" s="5" t="str">
        <f t="shared" si="55"/>
        <v>None</v>
      </c>
      <c r="O56">
        <f t="shared" si="56"/>
        <v>1</v>
      </c>
      <c r="P56" s="3">
        <f t="shared" si="57"/>
        <v>0</v>
      </c>
      <c r="Q56" s="8">
        <f t="shared" si="12"/>
        <v>0</v>
      </c>
      <c r="R56" s="16">
        <f t="shared" si="13"/>
        <v>0</v>
      </c>
      <c r="S56" s="8">
        <f t="shared" si="14"/>
        <v>0</v>
      </c>
      <c r="T56" s="8">
        <f t="shared" si="58"/>
        <v>0</v>
      </c>
      <c r="U56" s="5" t="b">
        <f t="shared" si="16"/>
        <v>1</v>
      </c>
      <c r="V56" s="8">
        <f t="shared" si="59"/>
        <v>0</v>
      </c>
      <c r="W56" s="8">
        <f t="shared" si="60"/>
        <v>0</v>
      </c>
      <c r="X56" s="5" t="b">
        <f t="shared" si="19"/>
        <v>0</v>
      </c>
      <c r="Y56" s="8">
        <f t="shared" si="61"/>
        <v>0</v>
      </c>
      <c r="Z56" s="8">
        <f t="shared" si="62"/>
        <v>0</v>
      </c>
      <c r="AA56" s="5" t="b">
        <f t="shared" si="22"/>
        <v>0</v>
      </c>
      <c r="AB56" s="8">
        <f t="shared" si="63"/>
        <v>0</v>
      </c>
      <c r="AC56" s="8">
        <f t="shared" si="64"/>
        <v>0</v>
      </c>
      <c r="AD56" s="5" t="b">
        <f t="shared" si="65"/>
        <v>0</v>
      </c>
      <c r="AE56" s="8">
        <f t="shared" si="66"/>
        <v>0</v>
      </c>
      <c r="AF56" s="8">
        <f t="shared" si="67"/>
        <v>0</v>
      </c>
      <c r="AG56" s="5" t="b">
        <f t="shared" si="28"/>
        <v>0</v>
      </c>
      <c r="AH56" s="8">
        <f t="shared" si="68"/>
        <v>0</v>
      </c>
      <c r="AI56" s="8">
        <f t="shared" si="69"/>
        <v>0</v>
      </c>
      <c r="AJ56" s="24">
        <f t="shared" si="70"/>
        <v>0</v>
      </c>
      <c r="AK56" s="8">
        <f t="shared" si="32"/>
        <v>0</v>
      </c>
      <c r="AL56" s="8">
        <f t="shared" si="33"/>
        <v>0</v>
      </c>
      <c r="AM56" s="183" t="b">
        <f t="shared" si="34"/>
        <v>1</v>
      </c>
      <c r="AN56" s="8">
        <f t="shared" si="35"/>
        <v>0</v>
      </c>
      <c r="AO56" s="54">
        <f t="shared" si="36"/>
        <v>3896.625</v>
      </c>
      <c r="AP56" s="8">
        <f t="shared" si="37"/>
        <v>0</v>
      </c>
      <c r="AQ56" s="8">
        <f t="shared" si="78"/>
        <v>0</v>
      </c>
      <c r="AR56" s="106">
        <f t="shared" si="71"/>
        <v>0</v>
      </c>
      <c r="AS56" s="106">
        <f t="shared" si="72"/>
        <v>0</v>
      </c>
      <c r="AT56" s="106">
        <f t="shared" si="73"/>
        <v>0</v>
      </c>
      <c r="AU56" s="106">
        <f t="shared" si="74"/>
        <v>0</v>
      </c>
      <c r="AV56" s="106">
        <f t="shared" si="75"/>
        <v>0</v>
      </c>
      <c r="AW56" t="b">
        <f t="shared" si="76"/>
        <v>1</v>
      </c>
      <c r="AX56" t="b">
        <f t="shared" si="77"/>
        <v>1</v>
      </c>
    </row>
    <row r="57" spans="1:50" x14ac:dyDescent="0.25">
      <c r="C57" s="5"/>
      <c r="H57" s="109"/>
      <c r="I57" s="109"/>
      <c r="J57" s="109"/>
      <c r="M57" s="3"/>
      <c r="P57" s="3"/>
      <c r="AQ57" s="8"/>
    </row>
    <row r="58" spans="1:50" x14ac:dyDescent="0.25">
      <c r="C58" s="5"/>
      <c r="H58" s="109"/>
      <c r="I58" s="109"/>
      <c r="J58" s="109"/>
      <c r="M58" s="3"/>
      <c r="P58" s="3"/>
      <c r="AQ58" s="8"/>
    </row>
    <row r="59" spans="1:50" x14ac:dyDescent="0.25">
      <c r="C59" s="5"/>
      <c r="H59" s="109"/>
      <c r="I59" s="109"/>
      <c r="J59" s="109"/>
      <c r="M59" s="3"/>
      <c r="P59" s="3"/>
      <c r="AQ59" s="8"/>
    </row>
    <row r="60" spans="1:50" x14ac:dyDescent="0.25">
      <c r="C60" s="5"/>
      <c r="H60" s="109"/>
      <c r="I60" s="109"/>
      <c r="J60" s="109"/>
      <c r="M60" s="3"/>
      <c r="P60" s="3"/>
      <c r="AQ60" s="8"/>
    </row>
    <row r="61" spans="1:50" x14ac:dyDescent="0.25">
      <c r="C61" s="5"/>
      <c r="H61" s="109"/>
      <c r="I61" s="109"/>
      <c r="J61" s="109"/>
      <c r="M61" s="3"/>
      <c r="P61" s="3"/>
      <c r="AQ61" s="8"/>
    </row>
    <row r="62" spans="1:50" x14ac:dyDescent="0.25">
      <c r="C62" s="5"/>
      <c r="H62" s="109"/>
      <c r="I62" s="109"/>
      <c r="J62" s="109"/>
      <c r="M62" s="3"/>
      <c r="P62" s="3"/>
      <c r="AQ62" s="8"/>
    </row>
    <row r="63" spans="1:50" x14ac:dyDescent="0.25">
      <c r="C63" s="5"/>
      <c r="H63" s="109"/>
      <c r="I63" s="109"/>
      <c r="J63" s="109"/>
      <c r="M63" s="3"/>
      <c r="P63" s="3"/>
      <c r="AQ63" s="8"/>
    </row>
    <row r="64" spans="1:50" x14ac:dyDescent="0.25">
      <c r="C64" s="5"/>
      <c r="H64" s="109"/>
      <c r="I64" s="109"/>
      <c r="J64" s="109"/>
      <c r="M64" s="3"/>
      <c r="P64" s="3"/>
      <c r="AQ64" s="8"/>
    </row>
    <row r="65" spans="3:43" x14ac:dyDescent="0.25">
      <c r="C65" s="5"/>
      <c r="H65" s="109"/>
      <c r="I65" s="109"/>
      <c r="J65" s="109"/>
      <c r="M65" s="3"/>
      <c r="P65" s="3"/>
      <c r="AQ65" s="8"/>
    </row>
    <row r="66" spans="3:43" x14ac:dyDescent="0.25">
      <c r="C66" s="5"/>
      <c r="H66" s="109"/>
      <c r="I66" s="109"/>
      <c r="J66" s="109"/>
      <c r="M66" s="3"/>
      <c r="P66" s="3"/>
      <c r="AQ66" s="8"/>
    </row>
    <row r="67" spans="3:43" x14ac:dyDescent="0.25">
      <c r="C67" s="5"/>
      <c r="H67" s="109"/>
      <c r="I67" s="109"/>
      <c r="J67" s="109"/>
      <c r="M67" s="3"/>
      <c r="P67" s="3"/>
      <c r="AQ67" s="8"/>
    </row>
    <row r="68" spans="3:43" x14ac:dyDescent="0.25">
      <c r="C68" s="5"/>
      <c r="H68" s="109"/>
      <c r="I68" s="109"/>
      <c r="J68" s="109"/>
      <c r="M68" s="3"/>
      <c r="P68" s="3"/>
      <c r="AQ68" s="8"/>
    </row>
    <row r="69" spans="3:43" x14ac:dyDescent="0.25">
      <c r="C69" s="5"/>
      <c r="H69" s="109"/>
      <c r="I69" s="109"/>
      <c r="J69" s="109"/>
      <c r="M69" s="3"/>
      <c r="P69" s="3"/>
      <c r="AQ69" s="8"/>
    </row>
    <row r="70" spans="3:43" x14ac:dyDescent="0.25">
      <c r="C70" s="5"/>
      <c r="H70" s="109"/>
      <c r="I70" s="109"/>
      <c r="J70" s="109"/>
      <c r="M70" s="3"/>
      <c r="P70" s="3"/>
      <c r="AQ70" s="8"/>
    </row>
    <row r="71" spans="3:43" x14ac:dyDescent="0.25">
      <c r="C71" s="5"/>
      <c r="H71" s="109"/>
      <c r="I71" s="109"/>
      <c r="J71" s="109"/>
      <c r="M71" s="3"/>
      <c r="P71" s="3"/>
      <c r="AQ71" s="8"/>
    </row>
    <row r="72" spans="3:43" x14ac:dyDescent="0.25">
      <c r="C72" s="5"/>
      <c r="H72" s="109"/>
      <c r="I72" s="109"/>
      <c r="J72" s="109"/>
      <c r="M72" s="3"/>
      <c r="P72" s="3"/>
      <c r="AQ72" s="8"/>
    </row>
    <row r="73" spans="3:43" x14ac:dyDescent="0.25">
      <c r="C73" s="5"/>
      <c r="H73" s="109"/>
      <c r="I73" s="109"/>
      <c r="J73" s="109"/>
      <c r="M73" s="3"/>
      <c r="P73" s="3"/>
      <c r="AQ73" s="8"/>
    </row>
    <row r="74" spans="3:43" x14ac:dyDescent="0.25">
      <c r="C74" s="5"/>
      <c r="H74" s="109"/>
      <c r="I74" s="109"/>
      <c r="J74" s="109"/>
      <c r="M74" s="3"/>
      <c r="P74" s="3"/>
      <c r="AQ74" s="8"/>
    </row>
    <row r="75" spans="3:43" x14ac:dyDescent="0.25">
      <c r="C75" s="5"/>
      <c r="H75" s="109"/>
      <c r="I75" s="109"/>
      <c r="J75" s="109"/>
      <c r="M75" s="3"/>
      <c r="P75" s="3"/>
      <c r="AQ75" s="8"/>
    </row>
    <row r="76" spans="3:43" x14ac:dyDescent="0.25">
      <c r="C76" s="5"/>
      <c r="H76" s="109"/>
      <c r="I76" s="109"/>
      <c r="J76" s="109"/>
      <c r="M76" s="3"/>
      <c r="P76" s="3"/>
      <c r="AQ76" s="8"/>
    </row>
    <row r="77" spans="3:43" x14ac:dyDescent="0.25">
      <c r="C77" s="5"/>
      <c r="H77" s="109"/>
      <c r="I77" s="109"/>
      <c r="J77" s="109"/>
      <c r="M77" s="3"/>
      <c r="P77" s="3"/>
      <c r="AQ77" s="8"/>
    </row>
    <row r="78" spans="3:43" x14ac:dyDescent="0.25">
      <c r="C78" s="5"/>
      <c r="H78" s="109"/>
      <c r="I78" s="109"/>
      <c r="J78" s="109"/>
      <c r="M78" s="3"/>
      <c r="P78" s="3"/>
      <c r="AQ78" s="8"/>
    </row>
    <row r="79" spans="3:43" x14ac:dyDescent="0.25">
      <c r="C79" s="5"/>
      <c r="H79" s="109"/>
      <c r="I79" s="109"/>
      <c r="J79" s="109"/>
      <c r="M79" s="3"/>
      <c r="P79" s="3"/>
      <c r="AQ79" s="8"/>
    </row>
    <row r="80" spans="3:43" x14ac:dyDescent="0.25">
      <c r="C80" s="5"/>
      <c r="H80" s="109"/>
      <c r="I80" s="109"/>
      <c r="J80" s="109"/>
      <c r="M80" s="3"/>
      <c r="P80" s="3"/>
      <c r="AQ80" s="8"/>
    </row>
    <row r="81" spans="3:43" x14ac:dyDescent="0.25">
      <c r="C81" s="5"/>
      <c r="H81" s="109"/>
      <c r="I81" s="109"/>
      <c r="J81" s="109"/>
      <c r="M81" s="3"/>
      <c r="P81" s="3"/>
      <c r="AQ81" s="8"/>
    </row>
    <row r="82" spans="3:43" x14ac:dyDescent="0.25">
      <c r="C82" s="5"/>
      <c r="H82" s="109"/>
      <c r="I82" s="109"/>
      <c r="J82" s="109"/>
      <c r="M82" s="3"/>
      <c r="P82" s="3"/>
      <c r="AQ82" s="8"/>
    </row>
    <row r="83" spans="3:43" x14ac:dyDescent="0.25">
      <c r="C83" s="5"/>
      <c r="H83" s="109"/>
      <c r="I83" s="109"/>
      <c r="J83" s="109"/>
      <c r="M83" s="3"/>
      <c r="P83" s="3"/>
      <c r="AQ83" s="8"/>
    </row>
    <row r="84" spans="3:43" x14ac:dyDescent="0.25">
      <c r="C84" s="5"/>
      <c r="H84" s="109"/>
      <c r="I84" s="109"/>
      <c r="J84" s="109"/>
      <c r="M84" s="3"/>
      <c r="P84" s="3"/>
      <c r="AQ84" s="8"/>
    </row>
    <row r="85" spans="3:43" x14ac:dyDescent="0.25">
      <c r="C85" s="5"/>
      <c r="H85" s="109"/>
      <c r="I85" s="109"/>
      <c r="J85" s="109"/>
      <c r="M85" s="3"/>
      <c r="P85" s="3"/>
      <c r="AQ85" s="8"/>
    </row>
    <row r="86" spans="3:43" x14ac:dyDescent="0.25">
      <c r="C86" s="5"/>
      <c r="H86" s="109"/>
      <c r="I86" s="109"/>
      <c r="J86" s="109"/>
      <c r="M86" s="3"/>
      <c r="P86" s="3"/>
      <c r="AQ86" s="8"/>
    </row>
    <row r="87" spans="3:43" x14ac:dyDescent="0.25">
      <c r="C87" s="5"/>
      <c r="H87" s="109"/>
      <c r="I87" s="109"/>
      <c r="J87" s="109"/>
      <c r="M87" s="3"/>
      <c r="P87" s="3"/>
      <c r="AQ87" s="8"/>
    </row>
    <row r="88" spans="3:43" x14ac:dyDescent="0.25">
      <c r="C88" s="5"/>
      <c r="H88" s="109"/>
      <c r="I88" s="109"/>
      <c r="J88" s="109"/>
      <c r="M88" s="3"/>
      <c r="P88" s="3"/>
      <c r="AQ88" s="8"/>
    </row>
    <row r="89" spans="3:43" x14ac:dyDescent="0.25">
      <c r="C89" s="5"/>
      <c r="H89" s="109"/>
      <c r="I89" s="109"/>
      <c r="J89" s="109"/>
      <c r="M89" s="3"/>
      <c r="P89" s="3"/>
      <c r="AQ89" s="8"/>
    </row>
    <row r="90" spans="3:43" x14ac:dyDescent="0.25">
      <c r="C90" s="5"/>
      <c r="H90" s="109"/>
      <c r="I90" s="109"/>
      <c r="J90" s="109"/>
      <c r="M90" s="3"/>
      <c r="P90" s="3"/>
      <c r="AQ90" s="8"/>
    </row>
    <row r="91" spans="3:43" x14ac:dyDescent="0.25">
      <c r="C91" s="5"/>
      <c r="H91" s="109"/>
      <c r="I91" s="109"/>
      <c r="J91" s="109"/>
      <c r="M91" s="3"/>
      <c r="P91" s="3"/>
      <c r="AQ91" s="8"/>
    </row>
    <row r="92" spans="3:43" x14ac:dyDescent="0.25">
      <c r="C92" s="5"/>
      <c r="H92" s="109"/>
      <c r="I92" s="109"/>
      <c r="J92" s="109"/>
      <c r="M92" s="3"/>
      <c r="P92" s="3"/>
      <c r="AQ92" s="8"/>
    </row>
    <row r="93" spans="3:43" x14ac:dyDescent="0.25">
      <c r="C93" s="5"/>
      <c r="H93" s="109"/>
      <c r="I93" s="109"/>
      <c r="J93" s="109"/>
      <c r="M93" s="3"/>
      <c r="P93" s="3"/>
      <c r="AQ93" s="8"/>
    </row>
    <row r="94" spans="3:43" x14ac:dyDescent="0.25">
      <c r="C94" s="5"/>
      <c r="H94" s="109"/>
      <c r="I94" s="109"/>
      <c r="J94" s="109"/>
      <c r="M94" s="3"/>
      <c r="P94" s="3"/>
      <c r="AQ94" s="8"/>
    </row>
    <row r="95" spans="3:43" x14ac:dyDescent="0.25">
      <c r="C95" s="5"/>
      <c r="H95" s="109"/>
      <c r="I95" s="109"/>
      <c r="J95" s="109"/>
      <c r="M95" s="3"/>
      <c r="P95" s="3"/>
      <c r="AQ95" s="8"/>
    </row>
    <row r="96" spans="3:43" x14ac:dyDescent="0.25">
      <c r="C96" s="5"/>
      <c r="H96" s="109"/>
      <c r="I96" s="109"/>
      <c r="J96" s="109"/>
      <c r="M96" s="3"/>
      <c r="P96" s="3"/>
      <c r="AQ96" s="8"/>
    </row>
    <row r="97" spans="3:43" x14ac:dyDescent="0.25">
      <c r="C97" s="5"/>
      <c r="H97" s="109"/>
      <c r="I97" s="109"/>
      <c r="J97" s="109"/>
      <c r="M97" s="3"/>
      <c r="P97" s="3"/>
      <c r="AQ97" s="8"/>
    </row>
    <row r="98" spans="3:43" x14ac:dyDescent="0.25">
      <c r="C98" s="5"/>
      <c r="H98" s="109"/>
      <c r="I98" s="109"/>
      <c r="J98" s="109"/>
      <c r="M98" s="3"/>
      <c r="P98" s="3"/>
      <c r="AQ98" s="8"/>
    </row>
    <row r="99" spans="3:43" x14ac:dyDescent="0.25">
      <c r="C99" s="5"/>
      <c r="H99" s="109"/>
      <c r="I99" s="109"/>
      <c r="J99" s="109"/>
      <c r="M99" s="3"/>
      <c r="P99" s="3"/>
      <c r="AQ99" s="8"/>
    </row>
    <row r="100" spans="3:43" x14ac:dyDescent="0.25">
      <c r="C100" s="5"/>
      <c r="H100" s="109"/>
      <c r="I100" s="109"/>
      <c r="J100" s="109"/>
      <c r="M100" s="3"/>
      <c r="P100" s="3"/>
      <c r="AQ100" s="8"/>
    </row>
    <row r="101" spans="3:43" x14ac:dyDescent="0.25">
      <c r="C101" s="5"/>
      <c r="H101" s="109"/>
      <c r="I101" s="109"/>
      <c r="J101" s="109"/>
      <c r="M101" s="3"/>
      <c r="P101" s="3"/>
      <c r="AQ101" s="8"/>
    </row>
    <row r="102" spans="3:43" x14ac:dyDescent="0.25">
      <c r="C102" s="5"/>
      <c r="H102" s="109"/>
      <c r="I102" s="109"/>
      <c r="J102" s="109"/>
      <c r="M102" s="3"/>
      <c r="P102" s="3"/>
      <c r="AQ102" s="8"/>
    </row>
    <row r="103" spans="3:43" x14ac:dyDescent="0.25">
      <c r="C103" s="5"/>
      <c r="H103" s="109"/>
      <c r="I103" s="109"/>
      <c r="J103" s="109"/>
      <c r="M103" s="3"/>
      <c r="P103" s="3"/>
      <c r="AQ103" s="8"/>
    </row>
    <row r="104" spans="3:43" x14ac:dyDescent="0.25">
      <c r="C104" s="5"/>
      <c r="H104" s="109"/>
      <c r="I104" s="109"/>
      <c r="J104" s="109"/>
      <c r="M104" s="3"/>
      <c r="P104" s="3"/>
      <c r="AQ104" s="8"/>
    </row>
    <row r="105" spans="3:43" x14ac:dyDescent="0.25">
      <c r="C105" s="5"/>
      <c r="H105" s="109"/>
      <c r="I105" s="109"/>
      <c r="J105" s="109"/>
      <c r="M105" s="3"/>
      <c r="P105" s="3"/>
      <c r="AQ105" s="8"/>
    </row>
    <row r="106" spans="3:43" x14ac:dyDescent="0.25">
      <c r="C106" s="5"/>
      <c r="H106" s="109"/>
      <c r="I106" s="109"/>
      <c r="J106" s="109"/>
      <c r="M106" s="3"/>
      <c r="P106" s="3"/>
      <c r="AQ106" s="8"/>
    </row>
    <row r="107" spans="3:43" x14ac:dyDescent="0.25">
      <c r="C107" s="5"/>
      <c r="H107" s="109"/>
      <c r="I107" s="109"/>
      <c r="J107" s="109"/>
      <c r="M107" s="3"/>
      <c r="P107" s="3"/>
      <c r="AQ107" s="8"/>
    </row>
    <row r="108" spans="3:43" x14ac:dyDescent="0.25">
      <c r="C108" s="5"/>
      <c r="H108" s="109"/>
      <c r="I108" s="109"/>
      <c r="J108" s="109"/>
      <c r="M108" s="3"/>
      <c r="P108" s="3"/>
      <c r="AQ108" s="8"/>
    </row>
    <row r="109" spans="3:43" x14ac:dyDescent="0.25">
      <c r="C109" s="5"/>
      <c r="H109" s="109"/>
      <c r="I109" s="109"/>
      <c r="J109" s="109"/>
      <c r="M109" s="3"/>
      <c r="P109" s="3"/>
      <c r="AQ109" s="8"/>
    </row>
    <row r="110" spans="3:43" x14ac:dyDescent="0.25">
      <c r="C110" s="5"/>
      <c r="H110" s="109"/>
      <c r="I110" s="109"/>
      <c r="J110" s="109"/>
      <c r="M110" s="3"/>
      <c r="P110" s="3"/>
      <c r="AQ110" s="8"/>
    </row>
    <row r="111" spans="3:43" x14ac:dyDescent="0.25">
      <c r="C111" s="5"/>
      <c r="H111" s="109"/>
      <c r="I111" s="109"/>
      <c r="J111" s="109"/>
      <c r="M111" s="3"/>
      <c r="P111" s="3"/>
      <c r="AQ111" s="8"/>
    </row>
    <row r="112" spans="3:43" x14ac:dyDescent="0.25">
      <c r="C112" s="5"/>
      <c r="H112" s="109"/>
      <c r="I112" s="109"/>
      <c r="J112" s="109"/>
      <c r="M112" s="3"/>
      <c r="P112" s="3"/>
      <c r="AQ112" s="8"/>
    </row>
    <row r="113" spans="3:43" x14ac:dyDescent="0.25">
      <c r="C113" s="5"/>
      <c r="H113" s="109"/>
      <c r="I113" s="109"/>
      <c r="J113" s="109"/>
      <c r="M113" s="3"/>
      <c r="P113" s="3"/>
      <c r="AQ113" s="8"/>
    </row>
    <row r="114" spans="3:43" x14ac:dyDescent="0.25">
      <c r="C114" s="5"/>
      <c r="H114" s="109"/>
      <c r="I114" s="109"/>
      <c r="J114" s="109"/>
      <c r="M114" s="3"/>
      <c r="P114" s="3"/>
      <c r="AQ114" s="8"/>
    </row>
    <row r="115" spans="3:43" x14ac:dyDescent="0.25">
      <c r="C115" s="5"/>
      <c r="H115" s="109"/>
      <c r="I115" s="109"/>
      <c r="J115" s="109"/>
      <c r="M115" s="3"/>
      <c r="P115" s="3"/>
      <c r="AQ115" s="8"/>
    </row>
    <row r="116" spans="3:43" x14ac:dyDescent="0.25">
      <c r="C116" s="5"/>
      <c r="H116" s="109"/>
      <c r="I116" s="109"/>
      <c r="J116" s="109"/>
      <c r="M116" s="3"/>
      <c r="P116" s="3"/>
      <c r="AQ116" s="8"/>
    </row>
    <row r="117" spans="3:43" x14ac:dyDescent="0.25">
      <c r="C117" s="5"/>
      <c r="H117" s="109"/>
      <c r="I117" s="109"/>
      <c r="J117" s="109"/>
      <c r="M117" s="3"/>
      <c r="P117" s="3"/>
      <c r="AQ117" s="8"/>
    </row>
    <row r="118" spans="3:43" x14ac:dyDescent="0.25">
      <c r="C118" s="5"/>
      <c r="H118" s="109"/>
      <c r="I118" s="109"/>
      <c r="J118" s="109"/>
      <c r="M118" s="3"/>
      <c r="P118" s="3"/>
      <c r="AQ118" s="8"/>
    </row>
    <row r="119" spans="3:43" x14ac:dyDescent="0.25">
      <c r="C119" s="5"/>
      <c r="H119" s="109"/>
      <c r="I119" s="109"/>
      <c r="J119" s="109"/>
      <c r="M119" s="3"/>
      <c r="P119" s="3"/>
      <c r="AQ119" s="8"/>
    </row>
    <row r="120" spans="3:43" x14ac:dyDescent="0.25">
      <c r="C120" s="5"/>
      <c r="H120" s="109"/>
      <c r="I120" s="109"/>
      <c r="J120" s="109"/>
      <c r="M120" s="3"/>
      <c r="P120" s="3"/>
      <c r="AQ120" s="8"/>
    </row>
    <row r="121" spans="3:43" x14ac:dyDescent="0.25">
      <c r="C121" s="5"/>
      <c r="H121" s="109"/>
      <c r="I121" s="109"/>
      <c r="J121" s="109"/>
      <c r="M121" s="3"/>
      <c r="P121" s="3"/>
      <c r="AQ121" s="8"/>
    </row>
    <row r="122" spans="3:43" x14ac:dyDescent="0.25">
      <c r="C122" s="5"/>
      <c r="H122" s="109"/>
      <c r="I122" s="109"/>
      <c r="J122" s="109"/>
      <c r="M122" s="3"/>
      <c r="P122" s="3"/>
      <c r="AQ122" s="8"/>
    </row>
    <row r="123" spans="3:43" x14ac:dyDescent="0.25">
      <c r="C123" s="5"/>
      <c r="H123" s="109"/>
      <c r="I123" s="109"/>
      <c r="J123" s="109"/>
      <c r="M123" s="3"/>
      <c r="P123" s="3"/>
    </row>
    <row r="124" spans="3:43" x14ac:dyDescent="0.25">
      <c r="C124" s="5"/>
      <c r="H124" s="109"/>
      <c r="I124" s="109"/>
      <c r="J124" s="109"/>
      <c r="M124" s="3"/>
      <c r="P124" s="3"/>
    </row>
    <row r="125" spans="3:43" x14ac:dyDescent="0.25">
      <c r="C125" s="5"/>
      <c r="H125" s="109"/>
      <c r="I125" s="109"/>
      <c r="J125" s="109"/>
      <c r="M125" s="3"/>
      <c r="P125" s="3"/>
    </row>
    <row r="126" spans="3:43" x14ac:dyDescent="0.25">
      <c r="C126" s="5"/>
      <c r="H126" s="109"/>
      <c r="I126" s="109"/>
      <c r="J126" s="109"/>
      <c r="M126" s="3"/>
      <c r="P126" s="3"/>
    </row>
    <row r="127" spans="3:43" x14ac:dyDescent="0.25">
      <c r="C127" s="5"/>
      <c r="H127" s="109"/>
      <c r="I127" s="109"/>
      <c r="J127" s="109"/>
      <c r="M127" s="3"/>
      <c r="P127" s="3"/>
    </row>
    <row r="128" spans="3:43" x14ac:dyDescent="0.25">
      <c r="C128" s="5"/>
      <c r="H128" s="109"/>
      <c r="I128" s="109"/>
      <c r="J128" s="109"/>
      <c r="M128" s="3"/>
      <c r="P128" s="3"/>
    </row>
    <row r="129" spans="3:16" x14ac:dyDescent="0.25">
      <c r="C129" s="5"/>
      <c r="H129" s="109"/>
      <c r="I129" s="109"/>
      <c r="J129" s="109"/>
      <c r="M129" s="3"/>
      <c r="P129" s="3"/>
    </row>
    <row r="130" spans="3:16" x14ac:dyDescent="0.25">
      <c r="C130" s="5"/>
      <c r="H130" s="109"/>
      <c r="I130" s="109"/>
      <c r="J130" s="109"/>
      <c r="M130" s="3"/>
      <c r="P130" s="3"/>
    </row>
    <row r="131" spans="3:16" x14ac:dyDescent="0.25">
      <c r="C131" s="5"/>
      <c r="H131" s="109"/>
      <c r="I131" s="109"/>
      <c r="J131" s="109"/>
      <c r="M131" s="3"/>
      <c r="P131" s="3"/>
    </row>
    <row r="132" spans="3:16" x14ac:dyDescent="0.25">
      <c r="C132" s="5"/>
      <c r="H132" s="109"/>
      <c r="I132" s="109"/>
      <c r="J132" s="109"/>
      <c r="M132" s="3"/>
      <c r="P132" s="3"/>
    </row>
    <row r="133" spans="3:16" x14ac:dyDescent="0.25">
      <c r="C133" s="5"/>
      <c r="H133" s="109"/>
      <c r="I133" s="109"/>
      <c r="J133" s="109"/>
      <c r="M133" s="3"/>
      <c r="P133" s="3"/>
    </row>
    <row r="134" spans="3:16" x14ac:dyDescent="0.25">
      <c r="C134" s="5"/>
      <c r="H134" s="109"/>
      <c r="I134" s="109"/>
      <c r="J134" s="109"/>
      <c r="M134" s="3"/>
      <c r="P134" s="3"/>
    </row>
    <row r="135" spans="3:16" x14ac:dyDescent="0.25">
      <c r="C135" s="5"/>
      <c r="H135" s="109"/>
      <c r="I135" s="109"/>
      <c r="J135" s="109"/>
      <c r="M135" s="3"/>
      <c r="P135" s="3"/>
    </row>
    <row r="136" spans="3:16" x14ac:dyDescent="0.25">
      <c r="C136" s="5"/>
      <c r="H136" s="109"/>
      <c r="I136" s="109"/>
      <c r="J136" s="109"/>
      <c r="M136" s="3"/>
      <c r="P136" s="3"/>
    </row>
    <row r="137" spans="3:16" x14ac:dyDescent="0.25">
      <c r="C137" s="5"/>
      <c r="H137" s="109"/>
      <c r="I137" s="109"/>
      <c r="J137" s="109"/>
      <c r="M137" s="3"/>
      <c r="P137" s="3"/>
    </row>
    <row r="138" spans="3:16" x14ac:dyDescent="0.25">
      <c r="C138" s="5"/>
      <c r="H138" s="109"/>
      <c r="I138" s="109"/>
      <c r="J138" s="109"/>
      <c r="M138" s="3"/>
      <c r="P138" s="3"/>
    </row>
    <row r="139" spans="3:16" x14ac:dyDescent="0.25">
      <c r="C139" s="5"/>
      <c r="H139" s="109"/>
      <c r="I139" s="109"/>
      <c r="J139" s="109"/>
      <c r="M139" s="3"/>
      <c r="P139" s="3"/>
    </row>
    <row r="140" spans="3:16" x14ac:dyDescent="0.25">
      <c r="C140" s="5"/>
      <c r="H140" s="109"/>
      <c r="I140" s="109"/>
      <c r="J140" s="109"/>
      <c r="M140" s="3"/>
      <c r="P140" s="3"/>
    </row>
    <row r="141" spans="3:16" x14ac:dyDescent="0.25">
      <c r="C141" s="5"/>
      <c r="H141" s="109"/>
      <c r="I141" s="109"/>
      <c r="J141" s="109"/>
      <c r="M141" s="3"/>
      <c r="P141" s="3"/>
    </row>
    <row r="142" spans="3:16" x14ac:dyDescent="0.25">
      <c r="C142" s="5"/>
      <c r="H142" s="109"/>
      <c r="I142" s="109"/>
      <c r="J142" s="109"/>
      <c r="M142" s="3"/>
      <c r="P142" s="3"/>
    </row>
    <row r="143" spans="3:16" x14ac:dyDescent="0.25">
      <c r="C143" s="5"/>
      <c r="H143" s="109"/>
      <c r="I143" s="109"/>
      <c r="J143" s="109"/>
      <c r="M143" s="3"/>
      <c r="P143" s="3"/>
    </row>
    <row r="144" spans="3:16" x14ac:dyDescent="0.25">
      <c r="C144" s="5"/>
      <c r="H144" s="109"/>
      <c r="I144" s="109"/>
      <c r="J144" s="109"/>
      <c r="M144" s="3"/>
      <c r="P144" s="3"/>
    </row>
    <row r="145" spans="3:18" x14ac:dyDescent="0.25">
      <c r="C145" s="5"/>
      <c r="H145" s="109"/>
      <c r="I145" s="109"/>
      <c r="J145" s="109"/>
      <c r="M145" s="3"/>
      <c r="P145" s="3"/>
    </row>
    <row r="146" spans="3:18" x14ac:dyDescent="0.25">
      <c r="C146" s="5"/>
      <c r="H146" s="109"/>
      <c r="I146" s="109"/>
      <c r="J146" s="109"/>
      <c r="M146" s="3"/>
      <c r="P146" s="3"/>
    </row>
    <row r="147" spans="3:18" x14ac:dyDescent="0.25">
      <c r="C147" s="5"/>
      <c r="H147" s="109"/>
      <c r="I147" s="109"/>
      <c r="J147" s="109"/>
      <c r="M147" s="3"/>
      <c r="P147" s="3"/>
    </row>
    <row r="148" spans="3:18" x14ac:dyDescent="0.25">
      <c r="C148" s="5"/>
      <c r="H148" s="109"/>
      <c r="I148" s="109"/>
      <c r="J148" s="109"/>
      <c r="M148" s="3"/>
      <c r="P148" s="3"/>
    </row>
    <row r="149" spans="3:18" x14ac:dyDescent="0.25">
      <c r="C149" s="5"/>
      <c r="H149" s="109"/>
      <c r="I149" s="109"/>
      <c r="J149" s="109"/>
      <c r="M149" s="3"/>
      <c r="P149" s="3"/>
    </row>
    <row r="150" spans="3:18" x14ac:dyDescent="0.25">
      <c r="C150" s="5"/>
      <c r="H150" s="109"/>
      <c r="I150" s="109"/>
      <c r="J150" s="109"/>
      <c r="M150" s="3"/>
      <c r="P150" s="3"/>
    </row>
    <row r="151" spans="3:18" x14ac:dyDescent="0.25">
      <c r="C151" s="5"/>
      <c r="H151" s="109"/>
      <c r="I151" s="109"/>
      <c r="J151" s="109"/>
      <c r="M151" s="3"/>
      <c r="P151" s="3"/>
    </row>
    <row r="152" spans="3:18" x14ac:dyDescent="0.25">
      <c r="C152" s="5"/>
      <c r="H152" s="109"/>
      <c r="I152" s="109"/>
      <c r="J152" s="109"/>
      <c r="M152" s="3"/>
      <c r="P152" s="3"/>
    </row>
    <row r="153" spans="3:18" x14ac:dyDescent="0.25">
      <c r="K153"/>
      <c r="M153" s="8"/>
      <c r="N153"/>
      <c r="P153" s="8"/>
      <c r="R153"/>
    </row>
  </sheetData>
  <autoFilter ref="A2:AW153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workbookViewId="0">
      <selection activeCell="A8" sqref="A8"/>
    </sheetView>
  </sheetViews>
  <sheetFormatPr defaultRowHeight="15" x14ac:dyDescent="0.25"/>
  <cols>
    <col min="1" max="1" width="10.7109375" style="189" customWidth="1"/>
    <col min="2" max="3" width="20.7109375" style="190" customWidth="1"/>
    <col min="4" max="4" width="20.7109375" style="189" customWidth="1"/>
    <col min="5" max="5" width="40.7109375" style="189" customWidth="1"/>
    <col min="6" max="6" width="40.7109375" style="197" customWidth="1"/>
    <col min="7" max="7" width="16.7109375" style="189" customWidth="1"/>
    <col min="8" max="8" width="20.7109375" style="189" customWidth="1"/>
    <col min="9" max="9" width="22" style="189" bestFit="1" customWidth="1"/>
    <col min="10" max="10" width="15.28515625" style="190" bestFit="1" customWidth="1"/>
  </cols>
  <sheetData>
    <row r="1" spans="1:10" s="2" customFormat="1" ht="45" x14ac:dyDescent="0.25">
      <c r="A1" s="195" t="s">
        <v>21</v>
      </c>
      <c r="B1" s="196" t="s">
        <v>415</v>
      </c>
      <c r="C1" s="196" t="s">
        <v>47</v>
      </c>
      <c r="D1" s="195" t="s">
        <v>48</v>
      </c>
      <c r="E1" s="195" t="s">
        <v>7</v>
      </c>
      <c r="F1" s="195" t="s">
        <v>184</v>
      </c>
      <c r="G1" s="195" t="s">
        <v>49</v>
      </c>
      <c r="H1" s="195" t="s">
        <v>50</v>
      </c>
      <c r="I1" s="195" t="s">
        <v>318</v>
      </c>
      <c r="J1" s="196" t="s">
        <v>319</v>
      </c>
    </row>
    <row r="2" spans="1:10" s="23" customFormat="1" ht="30" x14ac:dyDescent="0.25">
      <c r="A2" s="189">
        <v>1</v>
      </c>
      <c r="B2" s="190"/>
      <c r="C2" s="190">
        <v>378710401</v>
      </c>
      <c r="D2" s="189" t="s">
        <v>51</v>
      </c>
      <c r="E2" s="210" t="s">
        <v>39</v>
      </c>
      <c r="F2" s="197" t="s">
        <v>97</v>
      </c>
      <c r="G2" s="191">
        <v>6.45</v>
      </c>
      <c r="H2" s="189"/>
      <c r="I2" s="189" t="b">
        <f t="shared" ref="I2:I41" si="0">IF(ISERROR(VLOOKUP(E2,BenefitCategoryList,1,FALSE)),FALSE,TRUE)</f>
        <v>1</v>
      </c>
      <c r="J2" s="192">
        <f>COUNTIF(MATERNITY_TIMELINE!ServiceCode,A2)</f>
        <v>2</v>
      </c>
    </row>
    <row r="3" spans="1:10" s="23" customFormat="1" ht="30" x14ac:dyDescent="0.25">
      <c r="A3" s="189">
        <v>2</v>
      </c>
      <c r="B3" s="190"/>
      <c r="C3" s="190">
        <v>591346601</v>
      </c>
      <c r="D3" s="189" t="s">
        <v>51</v>
      </c>
      <c r="E3" s="210" t="s">
        <v>39</v>
      </c>
      <c r="F3" s="197" t="s">
        <v>98</v>
      </c>
      <c r="G3" s="191">
        <v>11.6875</v>
      </c>
      <c r="H3" s="189"/>
      <c r="I3" s="189" t="b">
        <f t="shared" si="0"/>
        <v>1</v>
      </c>
      <c r="J3" s="192">
        <f>COUNTIF(MATERNITY_TIMELINE!ServiceCode,A3)</f>
        <v>2</v>
      </c>
    </row>
    <row r="4" spans="1:10" s="23" customFormat="1" x14ac:dyDescent="0.25">
      <c r="A4" s="189">
        <v>3</v>
      </c>
      <c r="B4" s="190" t="s">
        <v>399</v>
      </c>
      <c r="C4" s="190" t="s">
        <v>99</v>
      </c>
      <c r="D4" s="189" t="s">
        <v>100</v>
      </c>
      <c r="E4" s="210" t="s">
        <v>42</v>
      </c>
      <c r="F4" s="197" t="s">
        <v>101</v>
      </c>
      <c r="G4" s="191">
        <v>0</v>
      </c>
      <c r="H4" s="189" t="s">
        <v>102</v>
      </c>
      <c r="I4" s="189" t="b">
        <f t="shared" si="0"/>
        <v>1</v>
      </c>
      <c r="J4" s="192">
        <f>COUNTIF(MATERNITY_TIMELINE!ServiceCode,A4)</f>
        <v>1</v>
      </c>
    </row>
    <row r="5" spans="1:10" s="23" customFormat="1" x14ac:dyDescent="0.25">
      <c r="A5" s="189">
        <v>4</v>
      </c>
      <c r="B5" s="190" t="s">
        <v>399</v>
      </c>
      <c r="C5" s="190">
        <v>795</v>
      </c>
      <c r="D5" s="189" t="s">
        <v>100</v>
      </c>
      <c r="E5" s="210" t="s">
        <v>33</v>
      </c>
      <c r="F5" s="197" t="s">
        <v>103</v>
      </c>
      <c r="G5" s="191">
        <v>1756</v>
      </c>
      <c r="H5" s="189"/>
      <c r="I5" s="189" t="b">
        <f t="shared" si="0"/>
        <v>1</v>
      </c>
      <c r="J5" s="192">
        <f>COUNTIF(MATERNITY_TIMELINE!ServiceCode,A5)</f>
        <v>0</v>
      </c>
    </row>
    <row r="6" spans="1:10" s="23" customFormat="1" x14ac:dyDescent="0.25">
      <c r="A6" s="189">
        <v>5</v>
      </c>
      <c r="B6" s="190" t="s">
        <v>399</v>
      </c>
      <c r="C6" s="190">
        <v>1967</v>
      </c>
      <c r="D6" s="189" t="s">
        <v>104</v>
      </c>
      <c r="E6" s="210" t="s">
        <v>36</v>
      </c>
      <c r="F6" s="197" t="s">
        <v>105</v>
      </c>
      <c r="G6" s="191">
        <v>1008</v>
      </c>
      <c r="H6" s="189"/>
      <c r="I6" s="189" t="b">
        <f t="shared" si="0"/>
        <v>1</v>
      </c>
      <c r="J6" s="192">
        <f>COUNTIF(MATERNITY_TIMELINE!ServiceCode,A6)</f>
        <v>0</v>
      </c>
    </row>
    <row r="7" spans="1:10" s="23" customFormat="1" x14ac:dyDescent="0.25">
      <c r="A7" s="189">
        <v>6</v>
      </c>
      <c r="B7" s="190" t="s">
        <v>399</v>
      </c>
      <c r="C7" s="190">
        <v>59400</v>
      </c>
      <c r="D7" s="189" t="s">
        <v>106</v>
      </c>
      <c r="E7" s="210" t="s">
        <v>35</v>
      </c>
      <c r="F7" s="197" t="s">
        <v>107</v>
      </c>
      <c r="G7" s="191">
        <v>2394.1799999999998</v>
      </c>
      <c r="H7" s="189" t="s">
        <v>108</v>
      </c>
      <c r="I7" s="189" t="b">
        <f t="shared" si="0"/>
        <v>1</v>
      </c>
      <c r="J7" s="192">
        <f>COUNTIF(MATERNITY_TIMELINE!ServiceCode,A7)</f>
        <v>1</v>
      </c>
    </row>
    <row r="8" spans="1:10" s="23" customFormat="1" x14ac:dyDescent="0.25">
      <c r="A8" s="189">
        <v>7</v>
      </c>
      <c r="B8" s="190"/>
      <c r="C8" s="190" t="s">
        <v>80</v>
      </c>
      <c r="D8" s="189" t="s">
        <v>51</v>
      </c>
      <c r="E8" s="210" t="s">
        <v>41</v>
      </c>
      <c r="F8" s="197" t="s">
        <v>109</v>
      </c>
      <c r="G8" s="191">
        <v>11.195267857142857</v>
      </c>
      <c r="H8" s="189"/>
      <c r="I8" s="189" t="b">
        <f t="shared" si="0"/>
        <v>1</v>
      </c>
      <c r="J8" s="192">
        <f>COUNTIF(MATERNITY_TIMELINE!ServiceCode,A8)</f>
        <v>1</v>
      </c>
    </row>
    <row r="9" spans="1:10" s="23" customFormat="1" ht="30" x14ac:dyDescent="0.25">
      <c r="A9" s="189">
        <v>8</v>
      </c>
      <c r="B9" s="190"/>
      <c r="C9" s="190" t="s">
        <v>80</v>
      </c>
      <c r="D9" s="189" t="s">
        <v>51</v>
      </c>
      <c r="E9" s="210" t="s">
        <v>41</v>
      </c>
      <c r="F9" s="197" t="s">
        <v>110</v>
      </c>
      <c r="G9" s="191">
        <v>12.205466666666666</v>
      </c>
      <c r="H9" s="189"/>
      <c r="I9" s="189" t="b">
        <f t="shared" si="0"/>
        <v>1</v>
      </c>
      <c r="J9" s="192">
        <f>COUNTIF(MATERNITY_TIMELINE!ServiceCode,A9)</f>
        <v>4</v>
      </c>
    </row>
    <row r="10" spans="1:10" s="23" customFormat="1" x14ac:dyDescent="0.25">
      <c r="A10" s="189">
        <v>9</v>
      </c>
      <c r="B10" s="190"/>
      <c r="C10" s="190" t="s">
        <v>111</v>
      </c>
      <c r="D10" s="189" t="s">
        <v>112</v>
      </c>
      <c r="E10" s="210" t="s">
        <v>42</v>
      </c>
      <c r="F10" s="197" t="s">
        <v>113</v>
      </c>
      <c r="G10" s="191">
        <v>0</v>
      </c>
      <c r="H10" s="189"/>
      <c r="I10" s="189" t="b">
        <f t="shared" si="0"/>
        <v>1</v>
      </c>
      <c r="J10" s="192">
        <f>COUNTIF(MATERNITY_TIMELINE!ServiceCode,A10)</f>
        <v>4</v>
      </c>
    </row>
    <row r="11" spans="1:10" s="23" customFormat="1" x14ac:dyDescent="0.25">
      <c r="A11" s="189">
        <v>10</v>
      </c>
      <c r="B11" s="190" t="s">
        <v>403</v>
      </c>
      <c r="C11" s="190">
        <v>90471</v>
      </c>
      <c r="D11" s="189" t="s">
        <v>106</v>
      </c>
      <c r="E11" s="210" t="s">
        <v>42</v>
      </c>
      <c r="F11" s="197" t="s">
        <v>114</v>
      </c>
      <c r="G11" s="191">
        <v>23</v>
      </c>
      <c r="H11" s="189"/>
      <c r="I11" s="189" t="b">
        <f t="shared" si="0"/>
        <v>1</v>
      </c>
      <c r="J11" s="192">
        <f>COUNTIF(MATERNITY_TIMELINE!ServiceCode,A11)</f>
        <v>1</v>
      </c>
    </row>
    <row r="12" spans="1:10" s="23" customFormat="1" x14ac:dyDescent="0.25">
      <c r="A12" s="189">
        <v>11</v>
      </c>
      <c r="B12" s="190" t="s">
        <v>403</v>
      </c>
      <c r="C12" s="190">
        <v>90656</v>
      </c>
      <c r="D12" s="189" t="s">
        <v>106</v>
      </c>
      <c r="E12" s="210" t="s">
        <v>42</v>
      </c>
      <c r="F12" s="197" t="s">
        <v>115</v>
      </c>
      <c r="G12" s="191">
        <v>14.27</v>
      </c>
      <c r="H12" s="189"/>
      <c r="I12" s="189" t="b">
        <f t="shared" si="0"/>
        <v>1</v>
      </c>
      <c r="J12" s="192">
        <f>COUNTIF(MATERNITY_TIMELINE!ServiceCode,A12)</f>
        <v>1</v>
      </c>
    </row>
    <row r="13" spans="1:10" s="23" customFormat="1" x14ac:dyDescent="0.25">
      <c r="A13" s="189">
        <v>12</v>
      </c>
      <c r="B13" s="190" t="s">
        <v>402</v>
      </c>
      <c r="C13" s="190">
        <v>36415</v>
      </c>
      <c r="D13" s="189" t="s">
        <v>106</v>
      </c>
      <c r="E13" s="210" t="s">
        <v>38</v>
      </c>
      <c r="F13" s="197" t="s">
        <v>54</v>
      </c>
      <c r="G13" s="191">
        <v>4.17</v>
      </c>
      <c r="H13" s="189" t="s">
        <v>116</v>
      </c>
      <c r="I13" s="189" t="b">
        <f t="shared" si="0"/>
        <v>1</v>
      </c>
      <c r="J13" s="192">
        <f>COUNTIF(MATERNITY_TIMELINE!ServiceCode,A13)</f>
        <v>3</v>
      </c>
    </row>
    <row r="14" spans="1:10" s="23" customFormat="1" x14ac:dyDescent="0.25">
      <c r="A14" s="189">
        <v>13</v>
      </c>
      <c r="B14" s="190" t="s">
        <v>402</v>
      </c>
      <c r="C14" s="190">
        <v>76805</v>
      </c>
      <c r="D14" s="189" t="s">
        <v>117</v>
      </c>
      <c r="E14" s="210" t="s">
        <v>37</v>
      </c>
      <c r="F14" s="197" t="s">
        <v>118</v>
      </c>
      <c r="G14" s="191">
        <v>163.99</v>
      </c>
      <c r="H14" s="189"/>
      <c r="I14" s="189" t="b">
        <f t="shared" si="0"/>
        <v>1</v>
      </c>
      <c r="J14" s="192">
        <f>COUNTIF(MATERNITY_TIMELINE!ServiceCode,A14)</f>
        <v>1</v>
      </c>
    </row>
    <row r="15" spans="1:10" s="23" customFormat="1" x14ac:dyDescent="0.25">
      <c r="A15" s="189">
        <v>14</v>
      </c>
      <c r="B15" s="190" t="s">
        <v>402</v>
      </c>
      <c r="C15" s="190">
        <v>80055</v>
      </c>
      <c r="D15" s="189" t="s">
        <v>106</v>
      </c>
      <c r="E15" s="210" t="s">
        <v>38</v>
      </c>
      <c r="F15" s="197" t="s">
        <v>119</v>
      </c>
      <c r="G15" s="191">
        <v>42.75</v>
      </c>
      <c r="H15" s="189" t="s">
        <v>120</v>
      </c>
      <c r="I15" s="189" t="b">
        <f t="shared" si="0"/>
        <v>1</v>
      </c>
      <c r="J15" s="192">
        <f>COUNTIF(MATERNITY_TIMELINE!ServiceCode,A15)</f>
        <v>1</v>
      </c>
    </row>
    <row r="16" spans="1:10" s="23" customFormat="1" x14ac:dyDescent="0.25">
      <c r="A16" s="189">
        <v>15</v>
      </c>
      <c r="B16" s="190" t="s">
        <v>402</v>
      </c>
      <c r="C16" s="190">
        <v>82105</v>
      </c>
      <c r="D16" s="189" t="s">
        <v>106</v>
      </c>
      <c r="E16" s="210" t="s">
        <v>38</v>
      </c>
      <c r="F16" s="197" t="s">
        <v>121</v>
      </c>
      <c r="G16" s="191">
        <v>17.53</v>
      </c>
      <c r="H16" s="189" t="s">
        <v>122</v>
      </c>
      <c r="I16" s="189" t="b">
        <f t="shared" si="0"/>
        <v>1</v>
      </c>
      <c r="J16" s="192">
        <f>COUNTIF(MATERNITY_TIMELINE!ServiceCode,A16)</f>
        <v>1</v>
      </c>
    </row>
    <row r="17" spans="1:10" s="23" customFormat="1" x14ac:dyDescent="0.25">
      <c r="A17" s="189">
        <v>16</v>
      </c>
      <c r="B17" s="190" t="s">
        <v>402</v>
      </c>
      <c r="C17" s="190">
        <v>82677</v>
      </c>
      <c r="D17" s="189" t="s">
        <v>106</v>
      </c>
      <c r="E17" s="210" t="s">
        <v>38</v>
      </c>
      <c r="F17" s="197" t="s">
        <v>314</v>
      </c>
      <c r="G17" s="191">
        <v>23.82</v>
      </c>
      <c r="H17" s="189" t="s">
        <v>122</v>
      </c>
      <c r="I17" s="189" t="b">
        <f t="shared" si="0"/>
        <v>1</v>
      </c>
      <c r="J17" s="192">
        <f>COUNTIF(MATERNITY_TIMELINE!ServiceCode,A17)</f>
        <v>1</v>
      </c>
    </row>
    <row r="18" spans="1:10" s="23" customFormat="1" x14ac:dyDescent="0.25">
      <c r="A18" s="189">
        <v>17</v>
      </c>
      <c r="B18" s="190" t="s">
        <v>402</v>
      </c>
      <c r="C18" s="190">
        <v>82947</v>
      </c>
      <c r="D18" s="189" t="s">
        <v>106</v>
      </c>
      <c r="E18" s="210" t="s">
        <v>38</v>
      </c>
      <c r="F18" s="197" t="s">
        <v>67</v>
      </c>
      <c r="G18" s="191">
        <v>5.73</v>
      </c>
      <c r="H18" s="189"/>
      <c r="I18" s="189" t="b">
        <f t="shared" si="0"/>
        <v>1</v>
      </c>
      <c r="J18" s="192">
        <f>COUNTIF(MATERNITY_TIMELINE!ServiceCode,A18)</f>
        <v>1</v>
      </c>
    </row>
    <row r="19" spans="1:10" s="23" customFormat="1" x14ac:dyDescent="0.25">
      <c r="A19" s="189">
        <v>18</v>
      </c>
      <c r="B19" s="190" t="s">
        <v>402</v>
      </c>
      <c r="C19" s="190">
        <v>82950</v>
      </c>
      <c r="D19" s="189" t="s">
        <v>106</v>
      </c>
      <c r="E19" s="210" t="s">
        <v>38</v>
      </c>
      <c r="F19" s="197" t="s">
        <v>123</v>
      </c>
      <c r="G19" s="191">
        <v>5.14</v>
      </c>
      <c r="H19" s="189"/>
      <c r="I19" s="189" t="b">
        <f t="shared" si="0"/>
        <v>1</v>
      </c>
      <c r="J19" s="192">
        <f>COUNTIF(MATERNITY_TIMELINE!ServiceCode,A19)</f>
        <v>1</v>
      </c>
    </row>
    <row r="20" spans="1:10" s="23" customFormat="1" x14ac:dyDescent="0.25">
      <c r="A20" s="189">
        <v>19</v>
      </c>
      <c r="B20" s="190" t="s">
        <v>402</v>
      </c>
      <c r="C20" s="190">
        <v>83891</v>
      </c>
      <c r="D20" s="189" t="s">
        <v>106</v>
      </c>
      <c r="E20" s="210" t="s">
        <v>38</v>
      </c>
      <c r="F20" s="197" t="s">
        <v>124</v>
      </c>
      <c r="G20" s="191"/>
      <c r="H20" s="189" t="s">
        <v>313</v>
      </c>
      <c r="I20" s="189" t="b">
        <f t="shared" si="0"/>
        <v>1</v>
      </c>
      <c r="J20" s="192">
        <f>COUNTIF(MATERNITY_TIMELINE!ServiceCode,A20)</f>
        <v>0</v>
      </c>
    </row>
    <row r="21" spans="1:10" s="23" customFormat="1" x14ac:dyDescent="0.25">
      <c r="A21" s="189">
        <v>20</v>
      </c>
      <c r="B21" s="190" t="s">
        <v>402</v>
      </c>
      <c r="C21" s="190">
        <v>83900</v>
      </c>
      <c r="D21" s="189" t="s">
        <v>106</v>
      </c>
      <c r="E21" s="210" t="s">
        <v>38</v>
      </c>
      <c r="F21" s="197" t="s">
        <v>125</v>
      </c>
      <c r="G21" s="191"/>
      <c r="H21" s="189" t="s">
        <v>313</v>
      </c>
      <c r="I21" s="189" t="b">
        <f t="shared" si="0"/>
        <v>1</v>
      </c>
      <c r="J21" s="192">
        <f>COUNTIF(MATERNITY_TIMELINE!ServiceCode,A21)</f>
        <v>0</v>
      </c>
    </row>
    <row r="22" spans="1:10" s="23" customFormat="1" x14ac:dyDescent="0.25">
      <c r="A22" s="189">
        <v>21</v>
      </c>
      <c r="B22" s="190" t="s">
        <v>402</v>
      </c>
      <c r="C22" s="190">
        <v>83901</v>
      </c>
      <c r="D22" s="189" t="s">
        <v>106</v>
      </c>
      <c r="E22" s="210" t="s">
        <v>38</v>
      </c>
      <c r="F22" s="197" t="s">
        <v>126</v>
      </c>
      <c r="G22" s="191"/>
      <c r="H22" s="189" t="s">
        <v>313</v>
      </c>
      <c r="I22" s="189" t="b">
        <f t="shared" si="0"/>
        <v>1</v>
      </c>
      <c r="J22" s="192">
        <f>COUNTIF(MATERNITY_TIMELINE!ServiceCode,A22)</f>
        <v>0</v>
      </c>
    </row>
    <row r="23" spans="1:10" s="23" customFormat="1" x14ac:dyDescent="0.25">
      <c r="A23" s="193">
        <v>22</v>
      </c>
      <c r="B23" s="192" t="s">
        <v>402</v>
      </c>
      <c r="C23" s="192">
        <v>83909</v>
      </c>
      <c r="D23" s="193" t="s">
        <v>106</v>
      </c>
      <c r="E23" s="210" t="s">
        <v>38</v>
      </c>
      <c r="F23" s="198" t="s">
        <v>127</v>
      </c>
      <c r="G23" s="194"/>
      <c r="H23" s="193" t="s">
        <v>313</v>
      </c>
      <c r="I23" s="189" t="b">
        <f t="shared" si="0"/>
        <v>1</v>
      </c>
      <c r="J23" s="192">
        <f>COUNTIF(MATERNITY_TIMELINE!ServiceCode,A23)</f>
        <v>0</v>
      </c>
    </row>
    <row r="24" spans="1:10" s="23" customFormat="1" x14ac:dyDescent="0.25">
      <c r="A24" s="189">
        <v>23</v>
      </c>
      <c r="B24" s="190" t="s">
        <v>402</v>
      </c>
      <c r="C24" s="190">
        <v>83912</v>
      </c>
      <c r="D24" s="189" t="s">
        <v>106</v>
      </c>
      <c r="E24" s="210" t="s">
        <v>38</v>
      </c>
      <c r="F24" s="197" t="s">
        <v>128</v>
      </c>
      <c r="G24" s="191"/>
      <c r="H24" s="189" t="s">
        <v>313</v>
      </c>
      <c r="I24" s="189" t="b">
        <f t="shared" si="0"/>
        <v>1</v>
      </c>
      <c r="J24" s="192">
        <f>COUNTIF(MATERNITY_TIMELINE!ServiceCode,A24)</f>
        <v>0</v>
      </c>
    </row>
    <row r="25" spans="1:10" s="23" customFormat="1" x14ac:dyDescent="0.25">
      <c r="A25" s="189">
        <v>24</v>
      </c>
      <c r="B25" s="190" t="s">
        <v>402</v>
      </c>
      <c r="C25" s="190">
        <v>83914</v>
      </c>
      <c r="D25" s="189" t="s">
        <v>106</v>
      </c>
      <c r="E25" s="210" t="s">
        <v>38</v>
      </c>
      <c r="F25" s="197" t="s">
        <v>129</v>
      </c>
      <c r="G25" s="191">
        <v>265.06</v>
      </c>
      <c r="H25" s="189" t="s">
        <v>313</v>
      </c>
      <c r="I25" s="189" t="b">
        <f t="shared" si="0"/>
        <v>1</v>
      </c>
      <c r="J25" s="192">
        <f>COUNTIF(MATERNITY_TIMELINE!ServiceCode,A25)</f>
        <v>0</v>
      </c>
    </row>
    <row r="26" spans="1:10" s="23" customFormat="1" x14ac:dyDescent="0.25">
      <c r="A26" s="189">
        <v>25</v>
      </c>
      <c r="B26" s="190" t="s">
        <v>402</v>
      </c>
      <c r="C26" s="190">
        <v>84702</v>
      </c>
      <c r="D26" s="189" t="s">
        <v>106</v>
      </c>
      <c r="E26" s="210" t="s">
        <v>38</v>
      </c>
      <c r="F26" s="197" t="s">
        <v>130</v>
      </c>
      <c r="G26" s="191">
        <v>16.399999999999999</v>
      </c>
      <c r="H26" s="189" t="s">
        <v>122</v>
      </c>
      <c r="I26" s="189" t="b">
        <f t="shared" si="0"/>
        <v>1</v>
      </c>
      <c r="J26" s="192">
        <f>COUNTIF(MATERNITY_TIMELINE!ServiceCode,A26)</f>
        <v>1</v>
      </c>
    </row>
    <row r="27" spans="1:10" s="23" customFormat="1" x14ac:dyDescent="0.25">
      <c r="A27" s="189">
        <v>26</v>
      </c>
      <c r="B27" s="190" t="s">
        <v>402</v>
      </c>
      <c r="C27" s="190">
        <v>85025</v>
      </c>
      <c r="D27" s="189" t="s">
        <v>106</v>
      </c>
      <c r="E27" s="210" t="s">
        <v>38</v>
      </c>
      <c r="F27" s="197" t="s">
        <v>131</v>
      </c>
      <c r="G27" s="191">
        <v>11.14</v>
      </c>
      <c r="H27" s="189"/>
      <c r="I27" s="189" t="b">
        <f t="shared" si="0"/>
        <v>1</v>
      </c>
      <c r="J27" s="192">
        <f>COUNTIF(MATERNITY_TIMELINE!ServiceCode,A27)</f>
        <v>1</v>
      </c>
    </row>
    <row r="28" spans="1:10" s="23" customFormat="1" x14ac:dyDescent="0.25">
      <c r="A28" s="189">
        <v>27</v>
      </c>
      <c r="B28" s="190" t="s">
        <v>402</v>
      </c>
      <c r="C28" s="190">
        <v>86336</v>
      </c>
      <c r="D28" s="189" t="s">
        <v>106</v>
      </c>
      <c r="E28" s="210" t="s">
        <v>38</v>
      </c>
      <c r="F28" s="197" t="s">
        <v>132</v>
      </c>
      <c r="G28" s="191">
        <v>17.43</v>
      </c>
      <c r="H28" s="189" t="s">
        <v>122</v>
      </c>
      <c r="I28" s="189" t="b">
        <f t="shared" si="0"/>
        <v>1</v>
      </c>
      <c r="J28" s="192">
        <f>COUNTIF(MATERNITY_TIMELINE!ServiceCode,A28)</f>
        <v>1</v>
      </c>
    </row>
    <row r="29" spans="1:10" s="23" customFormat="1" x14ac:dyDescent="0.25">
      <c r="A29" s="189">
        <v>28</v>
      </c>
      <c r="B29" s="190" t="s">
        <v>402</v>
      </c>
      <c r="C29" s="190">
        <v>86701</v>
      </c>
      <c r="D29" s="189" t="s">
        <v>106</v>
      </c>
      <c r="E29" s="210" t="s">
        <v>38</v>
      </c>
      <c r="F29" s="197" t="s">
        <v>133</v>
      </c>
      <c r="G29" s="191">
        <v>15.48</v>
      </c>
      <c r="H29" s="189"/>
      <c r="I29" s="189" t="b">
        <f t="shared" si="0"/>
        <v>1</v>
      </c>
      <c r="J29" s="192">
        <f>COUNTIF(MATERNITY_TIMELINE!ServiceCode,A29)</f>
        <v>1</v>
      </c>
    </row>
    <row r="30" spans="1:10" s="23" customFormat="1" x14ac:dyDescent="0.25">
      <c r="A30" s="189">
        <v>29</v>
      </c>
      <c r="B30" s="190" t="s">
        <v>402</v>
      </c>
      <c r="C30" s="190">
        <v>87653</v>
      </c>
      <c r="D30" s="189" t="s">
        <v>106</v>
      </c>
      <c r="E30" s="210" t="s">
        <v>38</v>
      </c>
      <c r="F30" s="197" t="s">
        <v>134</v>
      </c>
      <c r="G30" s="191">
        <v>36.78</v>
      </c>
      <c r="H30" s="189"/>
      <c r="I30" s="189" t="b">
        <f t="shared" si="0"/>
        <v>1</v>
      </c>
      <c r="J30" s="192">
        <f>COUNTIF(MATERNITY_TIMELINE!ServiceCode,A30)</f>
        <v>1</v>
      </c>
    </row>
    <row r="31" spans="1:10" s="23" customFormat="1" x14ac:dyDescent="0.25">
      <c r="A31" s="189">
        <v>30</v>
      </c>
      <c r="B31" s="190" t="s">
        <v>402</v>
      </c>
      <c r="C31" s="190">
        <v>87801</v>
      </c>
      <c r="D31" s="189" t="s">
        <v>106</v>
      </c>
      <c r="E31" s="210" t="s">
        <v>38</v>
      </c>
      <c r="F31" s="197" t="s">
        <v>135</v>
      </c>
      <c r="G31" s="191">
        <v>94</v>
      </c>
      <c r="H31" s="189" t="s">
        <v>136</v>
      </c>
      <c r="I31" s="189" t="b">
        <f t="shared" si="0"/>
        <v>1</v>
      </c>
      <c r="J31" s="192">
        <f>COUNTIF(MATERNITY_TIMELINE!ServiceCode,A31)</f>
        <v>1</v>
      </c>
    </row>
    <row r="32" spans="1:10" s="23" customFormat="1" x14ac:dyDescent="0.25">
      <c r="A32" s="189">
        <v>31</v>
      </c>
      <c r="B32" s="190" t="s">
        <v>402</v>
      </c>
      <c r="C32" s="190">
        <v>88164</v>
      </c>
      <c r="D32" s="189" t="s">
        <v>106</v>
      </c>
      <c r="E32" s="210" t="s">
        <v>38</v>
      </c>
      <c r="F32" s="197" t="s">
        <v>137</v>
      </c>
      <c r="G32" s="189">
        <v>12.64</v>
      </c>
      <c r="H32" s="189" t="s">
        <v>138</v>
      </c>
      <c r="I32" s="189" t="b">
        <f t="shared" si="0"/>
        <v>1</v>
      </c>
      <c r="J32" s="192">
        <f>COUNTIF(MATERNITY_TIMELINE!ServiceCode,A32)</f>
        <v>1</v>
      </c>
    </row>
    <row r="33" spans="1:10" s="23" customFormat="1" x14ac:dyDescent="0.25">
      <c r="A33" s="189">
        <v>32</v>
      </c>
      <c r="B33" s="190" t="s">
        <v>402</v>
      </c>
      <c r="C33" s="190">
        <v>59400</v>
      </c>
      <c r="D33" s="189" t="s">
        <v>106</v>
      </c>
      <c r="E33" s="210" t="s">
        <v>35</v>
      </c>
      <c r="F33" s="197" t="s">
        <v>79</v>
      </c>
      <c r="G33" s="189"/>
      <c r="H33" s="189"/>
      <c r="I33" s="189" t="b">
        <f t="shared" si="0"/>
        <v>1</v>
      </c>
      <c r="J33" s="192">
        <f>COUNTIF(MATERNITY_TIMELINE!ServiceCode,A33)</f>
        <v>14</v>
      </c>
    </row>
    <row r="34" spans="1:10" s="23" customFormat="1" x14ac:dyDescent="0.25">
      <c r="A34" s="189">
        <v>33</v>
      </c>
      <c r="B34" s="190" t="s">
        <v>404</v>
      </c>
      <c r="C34" s="190">
        <v>59400</v>
      </c>
      <c r="D34" s="189" t="s">
        <v>106</v>
      </c>
      <c r="E34" s="210" t="s">
        <v>35</v>
      </c>
      <c r="F34" s="197" t="s">
        <v>79</v>
      </c>
      <c r="G34" s="189"/>
      <c r="H34" s="189" t="s">
        <v>139</v>
      </c>
      <c r="I34" s="189" t="b">
        <f t="shared" si="0"/>
        <v>1</v>
      </c>
      <c r="J34" s="192">
        <f>COUNTIF(MATERNITY_TIMELINE!ServiceCode,A34)</f>
        <v>2</v>
      </c>
    </row>
    <row r="35" spans="1:10" s="23" customFormat="1" ht="30" x14ac:dyDescent="0.25">
      <c r="A35" s="189">
        <v>34</v>
      </c>
      <c r="B35" s="190" t="s">
        <v>406</v>
      </c>
      <c r="C35" s="190">
        <v>775</v>
      </c>
      <c r="D35" s="189" t="s">
        <v>100</v>
      </c>
      <c r="E35" s="210" t="s">
        <v>33</v>
      </c>
      <c r="F35" s="197" t="s">
        <v>140</v>
      </c>
      <c r="G35" s="189">
        <v>6195.38</v>
      </c>
      <c r="H35" s="189"/>
      <c r="I35" s="189" t="b">
        <f t="shared" si="0"/>
        <v>1</v>
      </c>
      <c r="J35" s="190">
        <f>COUNTIF(MATERNITY_TIMELINE!ServiceCode,A35)</f>
        <v>0</v>
      </c>
    </row>
    <row r="36" spans="1:10" s="23" customFormat="1" x14ac:dyDescent="0.25">
      <c r="A36" s="189">
        <v>35</v>
      </c>
      <c r="B36" s="190" t="s">
        <v>405</v>
      </c>
      <c r="C36" s="190">
        <v>81025</v>
      </c>
      <c r="D36" s="189" t="s">
        <v>106</v>
      </c>
      <c r="E36" s="210" t="s">
        <v>38</v>
      </c>
      <c r="F36" s="197" t="s">
        <v>141</v>
      </c>
      <c r="G36" s="189">
        <v>9.06</v>
      </c>
      <c r="H36" s="189"/>
      <c r="I36" s="189" t="b">
        <f t="shared" si="0"/>
        <v>1</v>
      </c>
      <c r="J36" s="190">
        <f>COUNTIF(MATERNITY_TIMELINE!ServiceCode,A36)</f>
        <v>1</v>
      </c>
    </row>
    <row r="37" spans="1:10" s="23" customFormat="1" ht="30" x14ac:dyDescent="0.25">
      <c r="A37" s="189">
        <v>36</v>
      </c>
      <c r="B37" s="190"/>
      <c r="C37" s="190"/>
      <c r="D37" s="189" t="s">
        <v>100</v>
      </c>
      <c r="E37" s="210" t="s">
        <v>33</v>
      </c>
      <c r="F37" s="197" t="s">
        <v>142</v>
      </c>
      <c r="G37" s="189">
        <v>8959.380000000001</v>
      </c>
      <c r="H37" s="189" t="s">
        <v>143</v>
      </c>
      <c r="I37" s="189" t="b">
        <f t="shared" si="0"/>
        <v>1</v>
      </c>
      <c r="J37" s="190">
        <f>COUNTIF(MATERNITY_TIMELINE!ServiceCode,A37)</f>
        <v>1</v>
      </c>
    </row>
    <row r="38" spans="1:10" x14ac:dyDescent="0.25">
      <c r="A38" s="189">
        <v>37</v>
      </c>
      <c r="B38" s="190" t="s">
        <v>402</v>
      </c>
      <c r="C38" s="190">
        <v>81220</v>
      </c>
      <c r="D38" s="189" t="s">
        <v>106</v>
      </c>
      <c r="E38" s="210" t="s">
        <v>38</v>
      </c>
      <c r="F38" s="197" t="s">
        <v>315</v>
      </c>
      <c r="G38" s="189">
        <v>561.73</v>
      </c>
      <c r="I38" s="189" t="b">
        <f t="shared" si="0"/>
        <v>1</v>
      </c>
      <c r="J38" s="190">
        <f>COUNTIF(MATERNITY_TIMELINE!ServiceCode,A38)</f>
        <v>1</v>
      </c>
    </row>
    <row r="39" spans="1:10" ht="30" x14ac:dyDescent="0.25">
      <c r="A39" s="189">
        <v>38</v>
      </c>
      <c r="C39" s="190">
        <v>99460</v>
      </c>
      <c r="D39" s="189" t="s">
        <v>316</v>
      </c>
      <c r="E39" s="210" t="s">
        <v>34</v>
      </c>
      <c r="F39" s="197" t="s">
        <v>317</v>
      </c>
      <c r="G39" s="189">
        <v>99</v>
      </c>
      <c r="I39" s="189" t="b">
        <f t="shared" si="0"/>
        <v>1</v>
      </c>
      <c r="J39" s="190">
        <f>COUNTIF(MATERNITY_TIMELINE!ServiceCode,A39)</f>
        <v>2</v>
      </c>
    </row>
    <row r="40" spans="1:10" ht="30" x14ac:dyDescent="0.25">
      <c r="A40" s="189">
        <v>39</v>
      </c>
      <c r="C40" s="190">
        <v>59409</v>
      </c>
      <c r="D40" s="189" t="s">
        <v>316</v>
      </c>
      <c r="E40" s="210" t="s">
        <v>363</v>
      </c>
      <c r="F40" s="197" t="s">
        <v>364</v>
      </c>
      <c r="G40" s="189">
        <v>1186.78</v>
      </c>
      <c r="I40" s="189" t="b">
        <f t="shared" si="0"/>
        <v>0</v>
      </c>
      <c r="J40" s="190">
        <f>COUNTIF(MATERNITY_TIMELINE!ServiceCode,A40)</f>
        <v>0</v>
      </c>
    </row>
    <row r="41" spans="1:10" x14ac:dyDescent="0.25">
      <c r="A41" s="189">
        <v>40</v>
      </c>
      <c r="C41" s="190">
        <v>59410</v>
      </c>
      <c r="D41" s="189" t="s">
        <v>316</v>
      </c>
      <c r="E41" s="210"/>
      <c r="F41" s="197" t="s">
        <v>365</v>
      </c>
      <c r="G41" s="189">
        <v>1450.41</v>
      </c>
      <c r="I41" s="189" t="b">
        <f t="shared" si="0"/>
        <v>0</v>
      </c>
      <c r="J41" s="190">
        <f>COUNTIF(MATERNITY_TIMELINE!ServiceCode,A41)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BENEFIT_DESIGN!$B$8:$B$27</xm:f>
          </x14:formula1>
          <xm:sqref>E2:E51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8"/>
  <sheetViews>
    <sheetView topLeftCell="A6" workbookViewId="0">
      <selection activeCell="C9" sqref="C9"/>
    </sheetView>
  </sheetViews>
  <sheetFormatPr defaultColWidth="0" defaultRowHeight="15" zeroHeight="1" x14ac:dyDescent="0.25"/>
  <cols>
    <col min="1" max="1" width="2.7109375" customWidth="1"/>
    <col min="2" max="2" width="43.7109375" bestFit="1" customWidth="1"/>
    <col min="3" max="10" width="12.7109375" customWidth="1"/>
    <col min="11" max="11" width="2.7109375" customWidth="1"/>
    <col min="12" max="16384" width="9.140625" hidden="1"/>
  </cols>
  <sheetData>
    <row r="1" spans="1:1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111"/>
      <c r="B2" s="124" t="s">
        <v>231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x14ac:dyDescent="0.25">
      <c r="A4" s="111"/>
      <c r="B4" s="87" t="str">
        <f>BENEFIT_DESIGN!$B$6</f>
        <v>Plan 3</v>
      </c>
      <c r="C4" s="82" t="s">
        <v>189</v>
      </c>
      <c r="D4" s="83"/>
      <c r="E4" s="87"/>
      <c r="F4" s="82" t="s">
        <v>87</v>
      </c>
      <c r="G4" s="82"/>
      <c r="H4" s="82"/>
      <c r="I4" s="82"/>
      <c r="J4" s="83"/>
      <c r="K4" s="111"/>
    </row>
    <row r="5" spans="1:11" ht="45" x14ac:dyDescent="0.25">
      <c r="A5" s="111"/>
      <c r="B5" s="91" t="s">
        <v>9</v>
      </c>
      <c r="C5" s="92" t="s">
        <v>90</v>
      </c>
      <c r="D5" s="93" t="s">
        <v>89</v>
      </c>
      <c r="E5" s="94" t="s">
        <v>88</v>
      </c>
      <c r="F5" s="95" t="s">
        <v>12</v>
      </c>
      <c r="G5" s="99" t="s">
        <v>29</v>
      </c>
      <c r="H5" s="100" t="s">
        <v>30</v>
      </c>
      <c r="I5" s="100" t="s">
        <v>31</v>
      </c>
      <c r="J5" s="101" t="s">
        <v>28</v>
      </c>
      <c r="K5" s="111"/>
    </row>
    <row r="6" spans="1:11" x14ac:dyDescent="0.25">
      <c r="A6" s="111"/>
      <c r="B6" s="88" t="str">
        <f>BENEFIT_DESIGN!B8</f>
        <v>Inpatient Hospital Care (Facility)</v>
      </c>
      <c r="C6" s="84">
        <f>SUMIFS(FRACTURE_TIMELINE!AllowedAmt,FRACTURE_TIMELINE!BenefitCategory,$B6)</f>
        <v>0</v>
      </c>
      <c r="D6" s="85">
        <f t="shared" ref="D6" si="0">MROUND(C6,IF(C6&gt;=100,100,10))</f>
        <v>0</v>
      </c>
      <c r="E6" s="90">
        <f>SUMIFS(FRACTURE_TIMELINE!PlanPaymentAmt,FRACTURE_TIMELINE!BenefitCategory,$B6)</f>
        <v>0</v>
      </c>
      <c r="F6" s="90">
        <f t="shared" ref="F6" si="1">SUM(G6:J6)</f>
        <v>0</v>
      </c>
      <c r="G6" s="102">
        <f>SUMIFS(FRACTURE_TIMELINE!SubscriberPayDeduc,FRACTURE_TIMELINE!BenefitCategory,$B6)</f>
        <v>0</v>
      </c>
      <c r="H6" s="103">
        <f>SUMIFS(FRACTURE_TIMELINE!SubscriberPayCopay,FRACTURE_TIMELINE!BenefitCategory,$B6)</f>
        <v>0</v>
      </c>
      <c r="I6" s="103">
        <f>SUMIFS(FRACTURE_TIMELINE!SubscriberPayCoins,FRACTURE_TIMELINE!BenefitCategory,$B6)</f>
        <v>0</v>
      </c>
      <c r="J6" s="104">
        <f>SUMIFS(FRACTURE_TIMELINE!SubscriberPayNonCov,FRACTURE_TIMELINE!BenefitCategory,$B6)+SUMIFS(FRACTURE_TIMELINE!SubscriberPayExclusion,FRACTURE_TIMELINE!BenefitCategory,$B6)</f>
        <v>0</v>
      </c>
      <c r="K6" s="111"/>
    </row>
    <row r="7" spans="1:11" x14ac:dyDescent="0.25">
      <c r="A7" s="111"/>
      <c r="B7" s="88" t="str">
        <f>BENEFIT_DESIGN!B9</f>
        <v>Other Facility Services</v>
      </c>
      <c r="C7" s="84">
        <f>SUMIFS(FRACTURE_TIMELINE!AllowedAmt,FRACTURE_TIMELINE!BenefitCategory,$B7)</f>
        <v>37.14</v>
      </c>
      <c r="D7" s="85">
        <f t="shared" ref="D7:D25" si="2">MROUND(C7,IF(C7&gt;=100,100,10))</f>
        <v>40</v>
      </c>
      <c r="E7" s="90">
        <f>SUMIFS(FRACTURE_TIMELINE!PlanPaymentAmt,FRACTURE_TIMELINE!BenefitCategory,$B7)</f>
        <v>0</v>
      </c>
      <c r="F7" s="90">
        <f t="shared" ref="F7:F25" si="3">SUM(G7:J7)</f>
        <v>37.14</v>
      </c>
      <c r="G7" s="102">
        <f>SUMIFS(FRACTURE_TIMELINE!SubscriberPayDeduc,FRACTURE_TIMELINE!BenefitCategory,$B7)</f>
        <v>37.14</v>
      </c>
      <c r="H7" s="103">
        <f>SUMIFS(FRACTURE_TIMELINE!SubscriberPayCopay,FRACTURE_TIMELINE!BenefitCategory,$B7)</f>
        <v>0</v>
      </c>
      <c r="I7" s="103">
        <f>SUMIFS(FRACTURE_TIMELINE!SubscriberPayCoins,FRACTURE_TIMELINE!BenefitCategory,$B7)</f>
        <v>0</v>
      </c>
      <c r="J7" s="104">
        <f>SUMIFS(FRACTURE_TIMELINE!SubscriberPayNonCov,FRACTURE_TIMELINE!BenefitCategory,$B7)+SUMIFS(FRACTURE_TIMELINE!SubscriberPayExclusion,FRACTURE_TIMELINE!BenefitCategory,$B7)</f>
        <v>0</v>
      </c>
      <c r="K7" s="111"/>
    </row>
    <row r="8" spans="1:11" x14ac:dyDescent="0.25">
      <c r="A8" s="111"/>
      <c r="B8" s="88" t="str">
        <f>BENEFIT_DESIGN!B10</f>
        <v>Emergency Department (Facility)</v>
      </c>
      <c r="C8" s="84">
        <f>SUMIFS(FRACTURE_TIMELINE!AllowedAmt,FRACTURE_TIMELINE!BenefitCategory,$B8)</f>
        <v>0</v>
      </c>
      <c r="D8" s="85">
        <f t="shared" si="2"/>
        <v>0</v>
      </c>
      <c r="E8" s="90">
        <f>SUMIFS(FRACTURE_TIMELINE!PlanPaymentAmt,FRACTURE_TIMELINE!BenefitCategory,$B8)</f>
        <v>0</v>
      </c>
      <c r="F8" s="90">
        <f t="shared" si="3"/>
        <v>0</v>
      </c>
      <c r="G8" s="102">
        <f>SUMIFS(FRACTURE_TIMELINE!SubscriberPayDeduc,FRACTURE_TIMELINE!BenefitCategory,$B8)</f>
        <v>0</v>
      </c>
      <c r="H8" s="103">
        <f>SUMIFS(FRACTURE_TIMELINE!SubscriberPayCopay,FRACTURE_TIMELINE!BenefitCategory,$B8)</f>
        <v>0</v>
      </c>
      <c r="I8" s="103">
        <f>SUMIFS(FRACTURE_TIMELINE!SubscriberPayCoins,FRACTURE_TIMELINE!BenefitCategory,$B8)</f>
        <v>0</v>
      </c>
      <c r="J8" s="104">
        <f>SUMIFS(FRACTURE_TIMELINE!SubscriberPayNonCov,FRACTURE_TIMELINE!BenefitCategory,$B8)+SUMIFS(FRACTURE_TIMELINE!SubscriberPayExclusion,FRACTURE_TIMELINE!BenefitCategory,$B8)</f>
        <v>0</v>
      </c>
      <c r="K8" s="111"/>
    </row>
    <row r="9" spans="1:11" x14ac:dyDescent="0.25">
      <c r="A9" s="111"/>
      <c r="B9" s="88" t="str">
        <f>BENEFIT_DESIGN!B11</f>
        <v>Ambulance</v>
      </c>
      <c r="C9" s="84">
        <f>SUMIFS(FRACTURE_TIMELINE!AllowedAmt,FRACTURE_TIMELINE!BenefitCategory,$B9)</f>
        <v>592.55000000000007</v>
      </c>
      <c r="D9" s="85">
        <f t="shared" si="2"/>
        <v>600</v>
      </c>
      <c r="E9" s="90">
        <f>SUMIFS(FRACTURE_TIMELINE!PlanPaymentAmt,FRACTURE_TIMELINE!BenefitCategory,$B9)</f>
        <v>492.55</v>
      </c>
      <c r="F9" s="90">
        <f t="shared" si="3"/>
        <v>100</v>
      </c>
      <c r="G9" s="102">
        <f>SUMIFS(FRACTURE_TIMELINE!SubscriberPayDeduc,FRACTURE_TIMELINE!BenefitCategory,$B9)</f>
        <v>100</v>
      </c>
      <c r="H9" s="103">
        <f>SUMIFS(FRACTURE_TIMELINE!SubscriberPayCopay,FRACTURE_TIMELINE!BenefitCategory,$B9)</f>
        <v>0</v>
      </c>
      <c r="I9" s="103">
        <f>SUMIFS(FRACTURE_TIMELINE!SubscriberPayCoins,FRACTURE_TIMELINE!BenefitCategory,$B9)</f>
        <v>0</v>
      </c>
      <c r="J9" s="104">
        <f>SUMIFS(FRACTURE_TIMELINE!SubscriberPayNonCov,FRACTURE_TIMELINE!BenefitCategory,$B9)+SUMIFS(FRACTURE_TIMELINE!SubscriberPayExclusion,FRACTURE_TIMELINE!BenefitCategory,$B9)</f>
        <v>0</v>
      </c>
      <c r="K9" s="111"/>
    </row>
    <row r="10" spans="1:11" x14ac:dyDescent="0.25">
      <c r="A10" s="111"/>
      <c r="B10" s="88" t="str">
        <f>BENEFIT_DESIGN!B12</f>
        <v>Professional Services: Primary Care</v>
      </c>
      <c r="C10" s="84">
        <f>SUMIFS(FRACTURE_TIMELINE!AllowedAmt,FRACTURE_TIMELINE!BenefitCategory,$B10)</f>
        <v>0</v>
      </c>
      <c r="D10" s="85">
        <f t="shared" si="2"/>
        <v>0</v>
      </c>
      <c r="E10" s="90">
        <f>SUMIFS(FRACTURE_TIMELINE!PlanPaymentAmt,FRACTURE_TIMELINE!BenefitCategory,$B10)</f>
        <v>0</v>
      </c>
      <c r="F10" s="90">
        <f t="shared" si="3"/>
        <v>0</v>
      </c>
      <c r="G10" s="102">
        <f>SUMIFS(FRACTURE_TIMELINE!SubscriberPayDeduc,FRACTURE_TIMELINE!BenefitCategory,$B10)</f>
        <v>0</v>
      </c>
      <c r="H10" s="103">
        <f>SUMIFS(FRACTURE_TIMELINE!SubscriberPayCopay,FRACTURE_TIMELINE!BenefitCategory,$B10)</f>
        <v>0</v>
      </c>
      <c r="I10" s="103">
        <f>SUMIFS(FRACTURE_TIMELINE!SubscriberPayCoins,FRACTURE_TIMELINE!BenefitCategory,$B10)</f>
        <v>0</v>
      </c>
      <c r="J10" s="104">
        <f>SUMIFS(FRACTURE_TIMELINE!SubscriberPayNonCov,FRACTURE_TIMELINE!BenefitCategory,$B10)+SUMIFS(FRACTURE_TIMELINE!SubscriberPayExclusion,FRACTURE_TIMELINE!BenefitCategory,$B10)</f>
        <v>0</v>
      </c>
      <c r="K10" s="111"/>
    </row>
    <row r="11" spans="1:11" x14ac:dyDescent="0.25">
      <c r="A11" s="111"/>
      <c r="B11" s="88" t="str">
        <f>BENEFIT_DESIGN!B13</f>
        <v>Professional Services: Emergency Department</v>
      </c>
      <c r="C11" s="84">
        <f>SUMIFS(FRACTURE_TIMELINE!AllowedAmt,FRACTURE_TIMELINE!BenefitCategory,$B11)</f>
        <v>557.41000000000008</v>
      </c>
      <c r="D11" s="85">
        <f t="shared" si="2"/>
        <v>600</v>
      </c>
      <c r="E11" s="90">
        <f>SUMIFS(FRACTURE_TIMELINE!PlanPaymentAmt,FRACTURE_TIMELINE!BenefitCategory,$B11)</f>
        <v>557.41000000000008</v>
      </c>
      <c r="F11" s="90">
        <f t="shared" si="3"/>
        <v>0</v>
      </c>
      <c r="G11" s="102">
        <f>SUMIFS(FRACTURE_TIMELINE!SubscriberPayDeduc,FRACTURE_TIMELINE!BenefitCategory,$B11)</f>
        <v>0</v>
      </c>
      <c r="H11" s="103">
        <f>SUMIFS(FRACTURE_TIMELINE!SubscriberPayCopay,FRACTURE_TIMELINE!BenefitCategory,$B11)</f>
        <v>0</v>
      </c>
      <c r="I11" s="103">
        <f>SUMIFS(FRACTURE_TIMELINE!SubscriberPayCoins,FRACTURE_TIMELINE!BenefitCategory,$B11)</f>
        <v>0</v>
      </c>
      <c r="J11" s="104">
        <f>SUMIFS(FRACTURE_TIMELINE!SubscriberPayNonCov,FRACTURE_TIMELINE!BenefitCategory,$B11)+SUMIFS(FRACTURE_TIMELINE!SubscriberPayExclusion,FRACTURE_TIMELINE!BenefitCategory,$B11)</f>
        <v>0</v>
      </c>
      <c r="K11" s="111"/>
    </row>
    <row r="12" spans="1:11" x14ac:dyDescent="0.25">
      <c r="A12" s="111"/>
      <c r="B12" s="88" t="str">
        <f>BENEFIT_DESIGN!B14</f>
        <v>Professional Services: Specialist</v>
      </c>
      <c r="C12" s="84">
        <f>SUMIFS(FRACTURE_TIMELINE!AllowedAmt,FRACTURE_TIMELINE!BenefitCategory,$B12)</f>
        <v>293.37</v>
      </c>
      <c r="D12" s="85">
        <f t="shared" si="2"/>
        <v>300</v>
      </c>
      <c r="E12" s="90">
        <f>SUMIFS(FRACTURE_TIMELINE!PlanPaymentAmt,FRACTURE_TIMELINE!BenefitCategory,$B12)</f>
        <v>0</v>
      </c>
      <c r="F12" s="90">
        <f t="shared" si="3"/>
        <v>293.37</v>
      </c>
      <c r="G12" s="102">
        <f>SUMIFS(FRACTURE_TIMELINE!SubscriberPayDeduc,FRACTURE_TIMELINE!BenefitCategory,$B12)</f>
        <v>293.37</v>
      </c>
      <c r="H12" s="103">
        <f>SUMIFS(FRACTURE_TIMELINE!SubscriberPayCopay,FRACTURE_TIMELINE!BenefitCategory,$B12)</f>
        <v>0</v>
      </c>
      <c r="I12" s="103">
        <f>SUMIFS(FRACTURE_TIMELINE!SubscriberPayCoins,FRACTURE_TIMELINE!BenefitCategory,$B12)</f>
        <v>0</v>
      </c>
      <c r="J12" s="104">
        <f>SUMIFS(FRACTURE_TIMELINE!SubscriberPayNonCov,FRACTURE_TIMELINE!BenefitCategory,$B12)+SUMIFS(FRACTURE_TIMELINE!SubscriberPayExclusion,FRACTURE_TIMELINE!BenefitCategory,$B12)</f>
        <v>0</v>
      </c>
      <c r="K12" s="111"/>
    </row>
    <row r="13" spans="1:11" x14ac:dyDescent="0.25">
      <c r="A13" s="111"/>
      <c r="B13" s="88" t="str">
        <f>BENEFIT_DESIGN!B15</f>
        <v>Professional Services: Obstetric Care (Bundled)</v>
      </c>
      <c r="C13" s="84">
        <f>SUMIFS(FRACTURE_TIMELINE!AllowedAmt,FRACTURE_TIMELINE!BenefitCategory,$B13)</f>
        <v>0</v>
      </c>
      <c r="D13" s="85">
        <f t="shared" si="2"/>
        <v>0</v>
      </c>
      <c r="E13" s="90">
        <f>SUMIFS(FRACTURE_TIMELINE!PlanPaymentAmt,FRACTURE_TIMELINE!BenefitCategory,$B13)</f>
        <v>0</v>
      </c>
      <c r="F13" s="90">
        <f t="shared" si="3"/>
        <v>0</v>
      </c>
      <c r="G13" s="102">
        <f>SUMIFS(FRACTURE_TIMELINE!SubscriberPayDeduc,FRACTURE_TIMELINE!BenefitCategory,$B13)</f>
        <v>0</v>
      </c>
      <c r="H13" s="103">
        <f>SUMIFS(FRACTURE_TIMELINE!SubscriberPayCopay,FRACTURE_TIMELINE!BenefitCategory,$B13)</f>
        <v>0</v>
      </c>
      <c r="I13" s="103">
        <f>SUMIFS(FRACTURE_TIMELINE!SubscriberPayCoins,FRACTURE_TIMELINE!BenefitCategory,$B13)</f>
        <v>0</v>
      </c>
      <c r="J13" s="104">
        <f>SUMIFS(FRACTURE_TIMELINE!SubscriberPayNonCov,FRACTURE_TIMELINE!BenefitCategory,$B13)+SUMIFS(FRACTURE_TIMELINE!SubscriberPayExclusion,FRACTURE_TIMELINE!BenefitCategory,$B13)</f>
        <v>0</v>
      </c>
      <c r="K13" s="111"/>
    </row>
    <row r="14" spans="1:11" x14ac:dyDescent="0.25">
      <c r="A14" s="111"/>
      <c r="B14" s="88" t="str">
        <f>BENEFIT_DESIGN!B16</f>
        <v>Professional Services: Procedures &amp; Other</v>
      </c>
      <c r="C14" s="84">
        <f>SUMIFS(FRACTURE_TIMELINE!AllowedAmt,FRACTURE_TIMELINE!BenefitCategory,$B14)</f>
        <v>0</v>
      </c>
      <c r="D14" s="85">
        <f t="shared" si="2"/>
        <v>0</v>
      </c>
      <c r="E14" s="90">
        <f>SUMIFS(FRACTURE_TIMELINE!PlanPaymentAmt,FRACTURE_TIMELINE!BenefitCategory,$B14)</f>
        <v>0</v>
      </c>
      <c r="F14" s="90">
        <f t="shared" si="3"/>
        <v>0</v>
      </c>
      <c r="G14" s="102">
        <f>SUMIFS(FRACTURE_TIMELINE!SubscriberPayDeduc,FRACTURE_TIMELINE!BenefitCategory,$B14)</f>
        <v>0</v>
      </c>
      <c r="H14" s="103">
        <f>SUMIFS(FRACTURE_TIMELINE!SubscriberPayCopay,FRACTURE_TIMELINE!BenefitCategory,$B14)</f>
        <v>0</v>
      </c>
      <c r="I14" s="103">
        <f>SUMIFS(FRACTURE_TIMELINE!SubscriberPayCoins,FRACTURE_TIMELINE!BenefitCategory,$B14)</f>
        <v>0</v>
      </c>
      <c r="J14" s="104">
        <f>SUMIFS(FRACTURE_TIMELINE!SubscriberPayNonCov,FRACTURE_TIMELINE!BenefitCategory,$B14)+SUMIFS(FRACTURE_TIMELINE!SubscriberPayExclusion,FRACTURE_TIMELINE!BenefitCategory,$B14)</f>
        <v>0</v>
      </c>
      <c r="K14" s="111"/>
    </row>
    <row r="15" spans="1:11" x14ac:dyDescent="0.25">
      <c r="A15" s="111"/>
      <c r="B15" s="88" t="str">
        <f>BENEFIT_DESIGN!B17</f>
        <v>Professional Services: Physical Therapy</v>
      </c>
      <c r="C15" s="84">
        <f>SUMIFS(FRACTURE_TIMELINE!AllowedAmt,FRACTURE_TIMELINE!BenefitCategory,$B15)</f>
        <v>215.76</v>
      </c>
      <c r="D15" s="85">
        <f t="shared" si="2"/>
        <v>200</v>
      </c>
      <c r="E15" s="90">
        <f>SUMIFS(FRACTURE_TIMELINE!PlanPaymentAmt,FRACTURE_TIMELINE!BenefitCategory,$B15)</f>
        <v>0</v>
      </c>
      <c r="F15" s="90">
        <f t="shared" si="3"/>
        <v>215.76</v>
      </c>
      <c r="G15" s="102">
        <f>SUMIFS(FRACTURE_TIMELINE!SubscriberPayDeduc,FRACTURE_TIMELINE!BenefitCategory,$B15)</f>
        <v>215.76</v>
      </c>
      <c r="H15" s="103">
        <f>SUMIFS(FRACTURE_TIMELINE!SubscriberPayCopay,FRACTURE_TIMELINE!BenefitCategory,$B15)</f>
        <v>0</v>
      </c>
      <c r="I15" s="103">
        <f>SUMIFS(FRACTURE_TIMELINE!SubscriberPayCoins,FRACTURE_TIMELINE!BenefitCategory,$B15)</f>
        <v>0</v>
      </c>
      <c r="J15" s="104">
        <f>SUMIFS(FRACTURE_TIMELINE!SubscriberPayNonCov,FRACTURE_TIMELINE!BenefitCategory,$B15)+SUMIFS(FRACTURE_TIMELINE!SubscriberPayExclusion,FRACTURE_TIMELINE!BenefitCategory,$B15)</f>
        <v>0</v>
      </c>
      <c r="K15" s="111"/>
    </row>
    <row r="16" spans="1:11" x14ac:dyDescent="0.25">
      <c r="A16" s="111"/>
      <c r="B16" s="88" t="str">
        <f>BENEFIT_DESIGN!B18</f>
        <v>Diagnostic Services: Radiology</v>
      </c>
      <c r="C16" s="84">
        <f>SUMIFS(FRACTURE_TIMELINE!AllowedAmt,FRACTURE_TIMELINE!BenefitCategory,$B16)</f>
        <v>30.2</v>
      </c>
      <c r="D16" s="85">
        <f t="shared" si="2"/>
        <v>30</v>
      </c>
      <c r="E16" s="90">
        <f>SUMIFS(FRACTURE_TIMELINE!PlanPaymentAmt,FRACTURE_TIMELINE!BenefitCategory,$B16)</f>
        <v>0</v>
      </c>
      <c r="F16" s="90">
        <f t="shared" si="3"/>
        <v>30.2</v>
      </c>
      <c r="G16" s="102">
        <f>SUMIFS(FRACTURE_TIMELINE!SubscriberPayDeduc,FRACTURE_TIMELINE!BenefitCategory,$B16)</f>
        <v>30.2</v>
      </c>
      <c r="H16" s="103">
        <f>SUMIFS(FRACTURE_TIMELINE!SubscriberPayCopay,FRACTURE_TIMELINE!BenefitCategory,$B16)</f>
        <v>0</v>
      </c>
      <c r="I16" s="103">
        <f>SUMIFS(FRACTURE_TIMELINE!SubscriberPayCoins,FRACTURE_TIMELINE!BenefitCategory,$B16)</f>
        <v>0</v>
      </c>
      <c r="J16" s="104">
        <f>SUMIFS(FRACTURE_TIMELINE!SubscriberPayNonCov,FRACTURE_TIMELINE!BenefitCategory,$B16)+SUMIFS(FRACTURE_TIMELINE!SubscriberPayExclusion,FRACTURE_TIMELINE!BenefitCategory,$B16)</f>
        <v>0</v>
      </c>
      <c r="K16" s="111"/>
    </row>
    <row r="17" spans="1:11" x14ac:dyDescent="0.25">
      <c r="A17" s="111"/>
      <c r="B17" s="88" t="str">
        <f>BENEFIT_DESIGN!B19</f>
        <v>Diagnostic Services: Laboratory</v>
      </c>
      <c r="C17" s="84">
        <f>SUMIFS(FRACTURE_TIMELINE!AllowedAmt,FRACTURE_TIMELINE!BenefitCategory,$B17)</f>
        <v>0</v>
      </c>
      <c r="D17" s="85">
        <f t="shared" si="2"/>
        <v>0</v>
      </c>
      <c r="E17" s="90">
        <f>SUMIFS(FRACTURE_TIMELINE!PlanPaymentAmt,FRACTURE_TIMELINE!BenefitCategory,$B17)</f>
        <v>0</v>
      </c>
      <c r="F17" s="90">
        <f t="shared" si="3"/>
        <v>0</v>
      </c>
      <c r="G17" s="102">
        <f>SUMIFS(FRACTURE_TIMELINE!SubscriberPayDeduc,FRACTURE_TIMELINE!BenefitCategory,$B17)</f>
        <v>0</v>
      </c>
      <c r="H17" s="103">
        <f>SUMIFS(FRACTURE_TIMELINE!SubscriberPayCopay,FRACTURE_TIMELINE!BenefitCategory,$B17)</f>
        <v>0</v>
      </c>
      <c r="I17" s="103">
        <f>SUMIFS(FRACTURE_TIMELINE!SubscriberPayCoins,FRACTURE_TIMELINE!BenefitCategory,$B17)</f>
        <v>0</v>
      </c>
      <c r="J17" s="104">
        <f>SUMIFS(FRACTURE_TIMELINE!SubscriberPayNonCov,FRACTURE_TIMELINE!BenefitCategory,$B17)+SUMIFS(FRACTURE_TIMELINE!SubscriberPayExclusion,FRACTURE_TIMELINE!BenefitCategory,$B17)</f>
        <v>0</v>
      </c>
      <c r="K17" s="111"/>
    </row>
    <row r="18" spans="1:11" x14ac:dyDescent="0.25">
      <c r="A18" s="111"/>
      <c r="B18" s="88" t="str">
        <f>BENEFIT_DESIGN!B20</f>
        <v>Prescription Drugs: Generic</v>
      </c>
      <c r="C18" s="84">
        <f>SUMIFS(FRACTURE_TIMELINE!AllowedAmt,FRACTURE_TIMELINE!BenefitCategory,$B18)</f>
        <v>0</v>
      </c>
      <c r="D18" s="85">
        <f t="shared" si="2"/>
        <v>0</v>
      </c>
      <c r="E18" s="90">
        <f>SUMIFS(FRACTURE_TIMELINE!PlanPaymentAmt,FRACTURE_TIMELINE!BenefitCategory,$B18)</f>
        <v>0</v>
      </c>
      <c r="F18" s="90">
        <f t="shared" si="3"/>
        <v>0</v>
      </c>
      <c r="G18" s="102">
        <f>SUMIFS(FRACTURE_TIMELINE!SubscriberPayDeduc,FRACTURE_TIMELINE!BenefitCategory,$B18)</f>
        <v>0</v>
      </c>
      <c r="H18" s="103">
        <f>SUMIFS(FRACTURE_TIMELINE!SubscriberPayCopay,FRACTURE_TIMELINE!BenefitCategory,$B18)</f>
        <v>0</v>
      </c>
      <c r="I18" s="103">
        <f>SUMIFS(FRACTURE_TIMELINE!SubscriberPayCoins,FRACTURE_TIMELINE!BenefitCategory,$B18)</f>
        <v>0</v>
      </c>
      <c r="J18" s="104">
        <f>SUMIFS(FRACTURE_TIMELINE!SubscriberPayNonCov,FRACTURE_TIMELINE!BenefitCategory,$B18)+SUMIFS(FRACTURE_TIMELINE!SubscriberPayExclusion,FRACTURE_TIMELINE!BenefitCategory,$B18)</f>
        <v>0</v>
      </c>
      <c r="K18" s="111"/>
    </row>
    <row r="19" spans="1:11" x14ac:dyDescent="0.25">
      <c r="A19" s="111"/>
      <c r="B19" s="88" t="str">
        <f>BENEFIT_DESIGN!B21</f>
        <v>Prescription Drugs: Branded</v>
      </c>
      <c r="C19" s="84">
        <f>SUMIFS(FRACTURE_TIMELINE!AllowedAmt,FRACTURE_TIMELINE!BenefitCategory,$B19)</f>
        <v>0</v>
      </c>
      <c r="D19" s="85">
        <f t="shared" si="2"/>
        <v>0</v>
      </c>
      <c r="E19" s="90">
        <f>SUMIFS(FRACTURE_TIMELINE!PlanPaymentAmt,FRACTURE_TIMELINE!BenefitCategory,$B19)</f>
        <v>0</v>
      </c>
      <c r="F19" s="90">
        <f t="shared" si="3"/>
        <v>0</v>
      </c>
      <c r="G19" s="102">
        <f>SUMIFS(FRACTURE_TIMELINE!SubscriberPayDeduc,FRACTURE_TIMELINE!BenefitCategory,$B19)</f>
        <v>0</v>
      </c>
      <c r="H19" s="103">
        <f>SUMIFS(FRACTURE_TIMELINE!SubscriberPayCopay,FRACTURE_TIMELINE!BenefitCategory,$B19)</f>
        <v>0</v>
      </c>
      <c r="I19" s="103">
        <f>SUMIFS(FRACTURE_TIMELINE!SubscriberPayCoins,FRACTURE_TIMELINE!BenefitCategory,$B19)</f>
        <v>0</v>
      </c>
      <c r="J19" s="104">
        <f>SUMIFS(FRACTURE_TIMELINE!SubscriberPayNonCov,FRACTURE_TIMELINE!BenefitCategory,$B19)+SUMIFS(FRACTURE_TIMELINE!SubscriberPayExclusion,FRACTURE_TIMELINE!BenefitCategory,$B19)</f>
        <v>0</v>
      </c>
      <c r="K19" s="111"/>
    </row>
    <row r="20" spans="1:11" x14ac:dyDescent="0.25">
      <c r="A20" s="111"/>
      <c r="B20" s="88" t="str">
        <f>BENEFIT_DESIGN!B22</f>
        <v>Over-the-counter Drugs</v>
      </c>
      <c r="C20" s="84">
        <f>SUMIFS(FRACTURE_TIMELINE!AllowedAmt,FRACTURE_TIMELINE!BenefitCategory,$B20)</f>
        <v>0</v>
      </c>
      <c r="D20" s="85">
        <f t="shared" si="2"/>
        <v>0</v>
      </c>
      <c r="E20" s="90">
        <f>SUMIFS(FRACTURE_TIMELINE!PlanPaymentAmt,FRACTURE_TIMELINE!BenefitCategory,$B20)</f>
        <v>0</v>
      </c>
      <c r="F20" s="90">
        <f t="shared" si="3"/>
        <v>0</v>
      </c>
      <c r="G20" s="102">
        <f>SUMIFS(FRACTURE_TIMELINE!SubscriberPayDeduc,FRACTURE_TIMELINE!BenefitCategory,$B20)</f>
        <v>0</v>
      </c>
      <c r="H20" s="103">
        <f>SUMIFS(FRACTURE_TIMELINE!SubscriberPayCopay,FRACTURE_TIMELINE!BenefitCategory,$B20)</f>
        <v>0</v>
      </c>
      <c r="I20" s="103">
        <f>SUMIFS(FRACTURE_TIMELINE!SubscriberPayCoins,FRACTURE_TIMELINE!BenefitCategory,$B20)</f>
        <v>0</v>
      </c>
      <c r="J20" s="104">
        <f>SUMIFS(FRACTURE_TIMELINE!SubscriberPayNonCov,FRACTURE_TIMELINE!BenefitCategory,$B20)+SUMIFS(FRACTURE_TIMELINE!SubscriberPayExclusion,FRACTURE_TIMELINE!BenefitCategory,$B20)</f>
        <v>0</v>
      </c>
      <c r="K20" s="111"/>
    </row>
    <row r="21" spans="1:11" x14ac:dyDescent="0.25">
      <c r="A21" s="111"/>
      <c r="B21" s="88" t="str">
        <f>BENEFIT_DESIGN!B23</f>
        <v>Preventive Services &amp; Vaccines</v>
      </c>
      <c r="C21" s="84">
        <f>SUMIFS(FRACTURE_TIMELINE!AllowedAmt,FRACTURE_TIMELINE!BenefitCategory,$B21)</f>
        <v>0</v>
      </c>
      <c r="D21" s="85">
        <f t="shared" si="2"/>
        <v>0</v>
      </c>
      <c r="E21" s="90">
        <f>SUMIFS(FRACTURE_TIMELINE!PlanPaymentAmt,FRACTURE_TIMELINE!BenefitCategory,$B21)</f>
        <v>0</v>
      </c>
      <c r="F21" s="90">
        <f t="shared" si="3"/>
        <v>0</v>
      </c>
      <c r="G21" s="102">
        <f>SUMIFS(FRACTURE_TIMELINE!SubscriberPayDeduc,FRACTURE_TIMELINE!BenefitCategory,$B21)</f>
        <v>0</v>
      </c>
      <c r="H21" s="103">
        <f>SUMIFS(FRACTURE_TIMELINE!SubscriberPayCopay,FRACTURE_TIMELINE!BenefitCategory,$B21)</f>
        <v>0</v>
      </c>
      <c r="I21" s="103">
        <f>SUMIFS(FRACTURE_TIMELINE!SubscriberPayCoins,FRACTURE_TIMELINE!BenefitCategory,$B21)</f>
        <v>0</v>
      </c>
      <c r="J21" s="104">
        <f>SUMIFS(FRACTURE_TIMELINE!SubscriberPayNonCov,FRACTURE_TIMELINE!BenefitCategory,$B21)+SUMIFS(FRACTURE_TIMELINE!SubscriberPayExclusion,FRACTURE_TIMELINE!BenefitCategory,$B21)</f>
        <v>0</v>
      </c>
      <c r="K21" s="111"/>
    </row>
    <row r="22" spans="1:11" x14ac:dyDescent="0.25">
      <c r="A22" s="111"/>
      <c r="B22" s="88" t="str">
        <f>BENEFIT_DESIGN!B24</f>
        <v>Durable Medical Equipment</v>
      </c>
      <c r="C22" s="84">
        <f>SUMIFS(FRACTURE_TIMELINE!AllowedAmt,FRACTURE_TIMELINE!BenefitCategory,$B22)</f>
        <v>198.61</v>
      </c>
      <c r="D22" s="85">
        <f t="shared" si="2"/>
        <v>200</v>
      </c>
      <c r="E22" s="90">
        <f>SUMIFS(FRACTURE_TIMELINE!PlanPaymentAmt,FRACTURE_TIMELINE!BenefitCategory,$B22)</f>
        <v>0</v>
      </c>
      <c r="F22" s="90">
        <f t="shared" si="3"/>
        <v>198.61</v>
      </c>
      <c r="G22" s="102">
        <f>SUMIFS(FRACTURE_TIMELINE!SubscriberPayDeduc,FRACTURE_TIMELINE!BenefitCategory,$B22)</f>
        <v>198.61</v>
      </c>
      <c r="H22" s="103">
        <f>SUMIFS(FRACTURE_TIMELINE!SubscriberPayCopay,FRACTURE_TIMELINE!BenefitCategory,$B22)</f>
        <v>0</v>
      </c>
      <c r="I22" s="103">
        <f>SUMIFS(FRACTURE_TIMELINE!SubscriberPayCoins,FRACTURE_TIMELINE!BenefitCategory,$B22)</f>
        <v>0</v>
      </c>
      <c r="J22" s="104">
        <f>SUMIFS(FRACTURE_TIMELINE!SubscriberPayNonCov,FRACTURE_TIMELINE!BenefitCategory,$B22)+SUMIFS(FRACTURE_TIMELINE!SubscriberPayExclusion,FRACTURE_TIMELINE!BenefitCategory,$B22)</f>
        <v>0</v>
      </c>
      <c r="K22" s="111"/>
    </row>
    <row r="23" spans="1:11" x14ac:dyDescent="0.25">
      <c r="A23" s="111"/>
      <c r="B23" s="88" t="str">
        <f>BENEFIT_DESIGN!B25</f>
        <v>Medical Supplies</v>
      </c>
      <c r="C23" s="84">
        <f>SUMIFS(FRACTURE_TIMELINE!AllowedAmt,FRACTURE_TIMELINE!BenefitCategory,$B23)</f>
        <v>0</v>
      </c>
      <c r="D23" s="85">
        <f t="shared" si="2"/>
        <v>0</v>
      </c>
      <c r="E23" s="90">
        <f>SUMIFS(FRACTURE_TIMELINE!PlanPaymentAmt,FRACTURE_TIMELINE!BenefitCategory,$B23)</f>
        <v>0</v>
      </c>
      <c r="F23" s="90">
        <f t="shared" si="3"/>
        <v>0</v>
      </c>
      <c r="G23" s="102">
        <f>SUMIFS(FRACTURE_TIMELINE!SubscriberPayDeduc,FRACTURE_TIMELINE!BenefitCategory,$B23)</f>
        <v>0</v>
      </c>
      <c r="H23" s="103">
        <f>SUMIFS(FRACTURE_TIMELINE!SubscriberPayCopay,FRACTURE_TIMELINE!BenefitCategory,$B23)</f>
        <v>0</v>
      </c>
      <c r="I23" s="103">
        <f>SUMIFS(FRACTURE_TIMELINE!SubscriberPayCoins,FRACTURE_TIMELINE!BenefitCategory,$B23)</f>
        <v>0</v>
      </c>
      <c r="J23" s="104">
        <f>SUMIFS(FRACTURE_TIMELINE!SubscriberPayNonCov,FRACTURE_TIMELINE!BenefitCategory,$B23)+SUMIFS(FRACTURE_TIMELINE!SubscriberPayExclusion,FRACTURE_TIMELINE!BenefitCategory,$B23)</f>
        <v>0</v>
      </c>
      <c r="K23" s="111"/>
    </row>
    <row r="24" spans="1:11" x14ac:dyDescent="0.25">
      <c r="A24" s="111"/>
      <c r="B24" s="88" t="str">
        <f>BENEFIT_DESIGN!B26</f>
        <v>Over-the-counter Medical Supplies</v>
      </c>
      <c r="C24" s="84">
        <f>SUMIFS(FRACTURE_TIMELINE!AllowedAmt,FRACTURE_TIMELINE!BenefitCategory,$B24)</f>
        <v>0</v>
      </c>
      <c r="D24" s="85">
        <f t="shared" si="2"/>
        <v>0</v>
      </c>
      <c r="E24" s="90">
        <f>SUMIFS(FRACTURE_TIMELINE!PlanPaymentAmt,FRACTURE_TIMELINE!BenefitCategory,$B24)</f>
        <v>0</v>
      </c>
      <c r="F24" s="90">
        <f t="shared" si="3"/>
        <v>0</v>
      </c>
      <c r="G24" s="102">
        <f>SUMIFS(FRACTURE_TIMELINE!SubscriberPayDeduc,FRACTURE_TIMELINE!BenefitCategory,$B24)</f>
        <v>0</v>
      </c>
      <c r="H24" s="103">
        <f>SUMIFS(FRACTURE_TIMELINE!SubscriberPayCopay,FRACTURE_TIMELINE!BenefitCategory,$B24)</f>
        <v>0</v>
      </c>
      <c r="I24" s="103">
        <f>SUMIFS(FRACTURE_TIMELINE!SubscriberPayCoins,FRACTURE_TIMELINE!BenefitCategory,$B24)</f>
        <v>0</v>
      </c>
      <c r="J24" s="104">
        <f>SUMIFS(FRACTURE_TIMELINE!SubscriberPayNonCov,FRACTURE_TIMELINE!BenefitCategory,$B24)+SUMIFS(FRACTURE_TIMELINE!SubscriberPayExclusion,FRACTURE_TIMELINE!BenefitCategory,$B24)</f>
        <v>0</v>
      </c>
      <c r="K24" s="111"/>
    </row>
    <row r="25" spans="1:11" x14ac:dyDescent="0.25">
      <c r="A25" s="111"/>
      <c r="B25" s="88" t="str">
        <f>BENEFIT_DESIGN!B27</f>
        <v>Other Items &amp; Services</v>
      </c>
      <c r="C25" s="84">
        <f>SUMIFS(FRACTURE_TIMELINE!AllowedAmt,FRACTURE_TIMELINE!BenefitCategory,$B25)</f>
        <v>0</v>
      </c>
      <c r="D25" s="85">
        <f t="shared" si="2"/>
        <v>0</v>
      </c>
      <c r="E25" s="90">
        <f>SUMIFS(FRACTURE_TIMELINE!PlanPaymentAmt,FRACTURE_TIMELINE!BenefitCategory,$B25)</f>
        <v>0</v>
      </c>
      <c r="F25" s="90">
        <f t="shared" si="3"/>
        <v>0</v>
      </c>
      <c r="G25" s="102">
        <f>SUMIFS(FRACTURE_TIMELINE!SubscriberPayDeduc,FRACTURE_TIMELINE!BenefitCategory,$B25)</f>
        <v>0</v>
      </c>
      <c r="H25" s="103">
        <f>SUMIFS(FRACTURE_TIMELINE!SubscriberPayCopay,FRACTURE_TIMELINE!BenefitCategory,$B25)</f>
        <v>0</v>
      </c>
      <c r="I25" s="103">
        <f>SUMIFS(FRACTURE_TIMELINE!SubscriberPayCoins,FRACTURE_TIMELINE!BenefitCategory,$B25)</f>
        <v>0</v>
      </c>
      <c r="J25" s="104">
        <f>SUMIFS(FRACTURE_TIMELINE!SubscriberPayNonCov,FRACTURE_TIMELINE!BenefitCategory,$B25)+SUMIFS(FRACTURE_TIMELINE!SubscriberPayExclusion,FRACTURE_TIMELINE!BenefitCategory,$B25)</f>
        <v>0</v>
      </c>
      <c r="K25" s="111"/>
    </row>
    <row r="26" spans="1:11" x14ac:dyDescent="0.25">
      <c r="A26" s="111"/>
      <c r="B26" s="96" t="s">
        <v>91</v>
      </c>
      <c r="C26" s="97">
        <f>SUM(C6:C25)</f>
        <v>1925.0400000000004</v>
      </c>
      <c r="D26" s="98"/>
      <c r="E26" s="206">
        <f>IFERROR(IF(BENEFIT_DESIGN_ERRORS!$C$34,"ERROR",SUM(E6:E25)),"ERROR")</f>
        <v>1049.96</v>
      </c>
      <c r="F26" s="206">
        <f>IFERROR(IF(BENEFIT_DESIGN_ERRORS!$C$34,"ERROR",SUM(F6:F25)),"ERROR")</f>
        <v>875.08</v>
      </c>
      <c r="G26" s="207">
        <f>IFERROR(IF(BENEFIT_DESIGN_ERRORS!$C$34,"ERROR",SUM(G6:G25)),"ERROR")</f>
        <v>875.08</v>
      </c>
      <c r="H26" s="208">
        <f>IFERROR(IF(BENEFIT_DESIGN_ERRORS!$C$34,"ERROR",SUM(H6:H25)),"ERROR")</f>
        <v>0</v>
      </c>
      <c r="I26" s="208">
        <f>IFERROR(IF(BENEFIT_DESIGN_ERRORS!$C$34,"ERROR",SUM(I6:I25)),"ERROR")</f>
        <v>0</v>
      </c>
      <c r="J26" s="209">
        <f>IFERROR(IF(BENEFIT_DESIGN_ERRORS!$C$34,"ERROR",SUM(J6:J25)),"ERROR")</f>
        <v>0</v>
      </c>
      <c r="K26" s="111"/>
    </row>
    <row r="27" spans="1:11" x14ac:dyDescent="0.25">
      <c r="A27" s="111"/>
      <c r="B27" s="89" t="s">
        <v>190</v>
      </c>
      <c r="C27" s="86"/>
      <c r="D27" s="179">
        <f>SUM(D6:D25)</f>
        <v>1970</v>
      </c>
      <c r="E27" s="177">
        <f>IFERROR(IF(BENEFIT_DESIGN_ERRORS!$C$34,"ERROR",D27-F27),"ERROR")</f>
        <v>1090</v>
      </c>
      <c r="F27" s="177">
        <f>IFERROR(IF(BENEFIT_DESIGN_ERRORS!$C$34,"ERROR",SUM(G27:J27)),"ERROR")</f>
        <v>880</v>
      </c>
      <c r="G27" s="180">
        <f>IFERROR(IF(OR(BENEFIT_DESIGN_ERRORS!$D$34,BENEFIT_DESIGN_ERRORS!$E$34,BENEFIT_DESIGN_ERRORS!$H$34),"ERROR",MROUND(G26,10)),"ERROR")</f>
        <v>880</v>
      </c>
      <c r="H27" s="181">
        <f>IFERROR(IF(BENEFIT_DESIGN_ERRORS!$I$34,"ERROR",MROUND(H26,10)),"ERROR")</f>
        <v>0</v>
      </c>
      <c r="I27" s="181">
        <f>IFERROR(IF(BENEFIT_DESIGN_ERRORS!$J$34,"ERROR",MROUND(I26,10)),"ERROR")</f>
        <v>0</v>
      </c>
      <c r="J27" s="178">
        <f>IFERROR(IF(OR(BENEFIT_DESIGN_ERRORS!$K$34,BENEFIT_DESIGN_ERRORS!$L$34,BENEFIT_DESIGN_ERRORS!$M$34),"ERROR",MROUND(J26,10)),"ERROR")</f>
        <v>0</v>
      </c>
      <c r="K27" s="111"/>
    </row>
    <row r="28" spans="1:11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153"/>
  <sheetViews>
    <sheetView workbookViewId="0">
      <selection activeCell="E8" sqref="E8"/>
    </sheetView>
  </sheetViews>
  <sheetFormatPr defaultRowHeight="15" x14ac:dyDescent="0.25"/>
  <cols>
    <col min="1" max="1" width="8.7109375" style="1" customWidth="1"/>
    <col min="2" max="2" width="12.7109375" style="10" customWidth="1"/>
    <col min="3" max="3" width="9.7109375" style="10" customWidth="1"/>
    <col min="4" max="4" width="12.7109375" style="13" customWidth="1"/>
    <col min="5" max="5" width="105.28515625" style="55" customWidth="1"/>
    <col min="6" max="6" width="45.28515625" bestFit="1" customWidth="1"/>
    <col min="7" max="7" width="25.7109375" customWidth="1"/>
    <col min="8" max="10" width="12.7109375" style="105" customWidth="1"/>
    <col min="11" max="11" width="12.7109375" style="5" customWidth="1"/>
    <col min="12" max="13" width="12.7109375" customWidth="1"/>
    <col min="14" max="14" width="12.7109375" style="5" customWidth="1"/>
    <col min="15" max="16" width="12.7109375" customWidth="1"/>
    <col min="17" max="17" width="12.7109375" style="8" customWidth="1"/>
    <col min="18" max="18" width="12.7109375" style="16" customWidth="1"/>
    <col min="19" max="20" width="12.7109375" style="8" customWidth="1"/>
    <col min="21" max="21" width="12.7109375" style="5" customWidth="1"/>
    <col min="22" max="23" width="12.7109375" style="8" customWidth="1"/>
    <col min="24" max="24" width="12.7109375" style="5" customWidth="1"/>
    <col min="25" max="26" width="12.7109375" style="8" customWidth="1"/>
    <col min="27" max="27" width="12.7109375" style="5" customWidth="1"/>
    <col min="28" max="29" width="12.7109375" style="8" customWidth="1"/>
    <col min="30" max="30" width="12.7109375" style="5" customWidth="1"/>
    <col min="31" max="32" width="12.7109375" style="8" customWidth="1"/>
    <col min="33" max="33" width="12.7109375" style="5" customWidth="1"/>
    <col min="34" max="35" width="12.7109375" style="8" customWidth="1"/>
    <col min="36" max="36" width="12.7109375" style="24" customWidth="1"/>
    <col min="37" max="38" width="12.7109375" style="8" customWidth="1"/>
    <col min="39" max="39" width="12.7109375" style="183" customWidth="1"/>
    <col min="40" max="40" width="12.7109375" style="8" customWidth="1"/>
    <col min="41" max="41" width="12.7109375" style="54" customWidth="1"/>
    <col min="42" max="42" width="12.7109375" style="8" customWidth="1"/>
    <col min="43" max="48" width="12.7109375" style="106" customWidth="1"/>
    <col min="49" max="50" width="12.7109375" customWidth="1"/>
  </cols>
  <sheetData>
    <row r="1" spans="1:50" x14ac:dyDescent="0.25">
      <c r="H1" s="105" t="s">
        <v>322</v>
      </c>
      <c r="I1" s="105" t="s">
        <v>323</v>
      </c>
      <c r="K1" t="s">
        <v>324</v>
      </c>
      <c r="Q1" s="8" t="s">
        <v>325</v>
      </c>
      <c r="T1" s="8" t="s">
        <v>334</v>
      </c>
      <c r="U1" s="5" t="s">
        <v>326</v>
      </c>
      <c r="X1" s="5" t="s">
        <v>327</v>
      </c>
      <c r="AA1" s="5" t="s">
        <v>328</v>
      </c>
      <c r="AD1" s="5" t="s">
        <v>329</v>
      </c>
      <c r="AG1" s="5" t="s">
        <v>330</v>
      </c>
      <c r="AL1" s="8" t="s">
        <v>331</v>
      </c>
      <c r="AP1" s="8" t="s">
        <v>332</v>
      </c>
      <c r="AR1" s="106" t="s">
        <v>333</v>
      </c>
    </row>
    <row r="2" spans="1:50" ht="75" x14ac:dyDescent="0.25">
      <c r="A2" s="6" t="s">
        <v>10</v>
      </c>
      <c r="B2" s="11" t="s">
        <v>8</v>
      </c>
      <c r="C2" s="11" t="s">
        <v>23</v>
      </c>
      <c r="D2" s="14" t="s">
        <v>21</v>
      </c>
      <c r="E2" s="56" t="s">
        <v>184</v>
      </c>
      <c r="F2" s="7" t="s">
        <v>7</v>
      </c>
      <c r="G2" s="7" t="s">
        <v>17</v>
      </c>
      <c r="H2" s="107" t="s">
        <v>6</v>
      </c>
      <c r="I2" s="107" t="s">
        <v>14</v>
      </c>
      <c r="J2" s="107" t="s">
        <v>13</v>
      </c>
      <c r="K2" s="12" t="s">
        <v>25</v>
      </c>
      <c r="L2" s="7" t="s">
        <v>24</v>
      </c>
      <c r="M2" s="7" t="s">
        <v>335</v>
      </c>
      <c r="N2" s="12" t="s">
        <v>26</v>
      </c>
      <c r="O2" s="7" t="s">
        <v>22</v>
      </c>
      <c r="P2" s="7" t="s">
        <v>336</v>
      </c>
      <c r="Q2" s="185" t="s">
        <v>46</v>
      </c>
      <c r="R2" s="17" t="s">
        <v>27</v>
      </c>
      <c r="S2" s="185" t="s">
        <v>290</v>
      </c>
      <c r="T2" s="185" t="s">
        <v>291</v>
      </c>
      <c r="U2" s="12" t="s">
        <v>194</v>
      </c>
      <c r="V2" s="185" t="s">
        <v>263</v>
      </c>
      <c r="W2" s="185" t="s">
        <v>264</v>
      </c>
      <c r="X2" s="12" t="s">
        <v>195</v>
      </c>
      <c r="Y2" s="185" t="s">
        <v>267</v>
      </c>
      <c r="Z2" s="185" t="s">
        <v>265</v>
      </c>
      <c r="AA2" s="12" t="s">
        <v>294</v>
      </c>
      <c r="AB2" s="185" t="s">
        <v>295</v>
      </c>
      <c r="AC2" s="185" t="s">
        <v>296</v>
      </c>
      <c r="AD2" s="12" t="s">
        <v>297</v>
      </c>
      <c r="AE2" s="185" t="s">
        <v>298</v>
      </c>
      <c r="AF2" s="185" t="s">
        <v>299</v>
      </c>
      <c r="AG2" s="12" t="s">
        <v>269</v>
      </c>
      <c r="AH2" s="185" t="s">
        <v>268</v>
      </c>
      <c r="AI2" s="185" t="s">
        <v>266</v>
      </c>
      <c r="AJ2" s="182" t="s">
        <v>300</v>
      </c>
      <c r="AK2" s="185" t="s">
        <v>185</v>
      </c>
      <c r="AL2" s="185" t="s">
        <v>302</v>
      </c>
      <c r="AM2" s="184" t="s">
        <v>303</v>
      </c>
      <c r="AN2" s="185" t="s">
        <v>304</v>
      </c>
      <c r="AO2" s="185" t="s">
        <v>305</v>
      </c>
      <c r="AP2" s="185" t="s">
        <v>301</v>
      </c>
      <c r="AQ2" s="108" t="s">
        <v>321</v>
      </c>
      <c r="AR2" s="108" t="s">
        <v>14</v>
      </c>
      <c r="AS2" s="108" t="s">
        <v>306</v>
      </c>
      <c r="AT2" s="108" t="s">
        <v>30</v>
      </c>
      <c r="AU2" s="108" t="s">
        <v>31</v>
      </c>
      <c r="AV2" s="108" t="s">
        <v>29</v>
      </c>
      <c r="AW2" s="7" t="s">
        <v>32</v>
      </c>
      <c r="AX2" s="7" t="s">
        <v>307</v>
      </c>
    </row>
    <row r="3" spans="1:50" x14ac:dyDescent="0.25">
      <c r="A3" s="1">
        <v>1</v>
      </c>
      <c r="B3" s="10">
        <v>41792</v>
      </c>
      <c r="C3" s="5">
        <v>6</v>
      </c>
      <c r="D3" s="13">
        <v>2</v>
      </c>
      <c r="E3" s="57" t="str">
        <f t="shared" ref="E3:E18" si="0">VLOOKUP(ServiceCode,FractureFeeSchedule,6,FALSE)</f>
        <v>Ground mileage, per statute mile</v>
      </c>
      <c r="F3" t="str">
        <f t="shared" ref="F3:F18" si="1">VLOOKUP(ServiceCode,FractureFeeSchedule,5,FALSE)</f>
        <v>Ambulance</v>
      </c>
      <c r="G3" t="str">
        <f t="shared" ref="G3:G18" si="2">VLOOKUP(BenefitCategory,BenefitDesignTable,COLUMN(BenefitCostSharing),FALSE)</f>
        <v>Deductible C Only</v>
      </c>
      <c r="H3" s="109">
        <f t="shared" ref="H3:H18" si="3">VLOOKUP(ServiceCode,FractureFeeSchedule,7,FALSE)</f>
        <v>75.95</v>
      </c>
      <c r="I3" s="109">
        <f t="shared" ref="I3:I18" si="4">IF(CostSharingType="Not Covered",AllowedAmt,0)</f>
        <v>0</v>
      </c>
      <c r="J3" s="109">
        <f t="shared" ref="J3:J18" si="5">IF((NotCoveredAmt+AmtExceedMonthLimit+AmtExceedAnnualLimit)&gt;0,0,AllowedAmt)</f>
        <v>75.95</v>
      </c>
      <c r="K3" s="5" t="str">
        <f t="shared" ref="K3:K18" si="6">VLOOKUP(BenefitCategory,BenefitDesignTable,COLUMN(BenefitLimithMonth),FALSE)</f>
        <v>None</v>
      </c>
      <c r="L3">
        <f t="shared" ref="L3:L18" si="7">COUNTIFS(ServiceCode,ServiceCode,ClaimMonth,ClaimMonth,ClaimNumber,"&lt;"&amp;ClaimNumber)</f>
        <v>0</v>
      </c>
      <c r="M3" s="3">
        <f t="shared" ref="M3:M18" si="8">IF(MonthLimit=0,0,IF(PriorUseMonth&gt;=MonthLimit,AllowedAmt,0))</f>
        <v>0</v>
      </c>
      <c r="N3" s="5" t="str">
        <f t="shared" ref="N3:N18" si="9">VLOOKUP(BenefitCategory,BenefitDesignTable,COLUMN(BenefitLimitAnnual),FALSE)</f>
        <v>None</v>
      </c>
      <c r="O3">
        <f t="shared" ref="O3:O18" si="10">COUNTIFS(ServiceCode,ServiceCode,ClaimNumber,"&lt;"&amp;ClaimNumber)</f>
        <v>0</v>
      </c>
      <c r="P3" s="3">
        <f t="shared" ref="P3:P18" si="11">IF(AnnualLimit=0,0,IF(PriorUseAnnual&gt;=AnnualLimit,AllowedAmt,0))</f>
        <v>0</v>
      </c>
      <c r="Q3" s="8">
        <f t="shared" ref="Q3:Q18" si="12">IF(AmtExceedMonthLimit=0,IF(AmtExceedAnnualLimit=0,VLOOKUP(BenefitCategory,BenefitDesignTable,COLUMN(BenefitCopay),FALSE),0))</f>
        <v>0</v>
      </c>
      <c r="R3" s="16">
        <f t="shared" ref="R3:R18" si="13">VLOOKUP(BenefitCategory,BenefitDesignTable,COLUMN(BenefitCoins),FALSE)</f>
        <v>0</v>
      </c>
      <c r="S3" s="8">
        <f t="shared" ref="S3:S18" si="14">IF(AmtExceedMonthLimit=0,IF(AmtExceedAnnualLimit=0,CoInsRate*CoveredAmt,0))</f>
        <v>0</v>
      </c>
      <c r="T3" s="8">
        <f t="shared" ref="T3:T18" si="15">IF((CoveredAmt-CoPayAmount-CoInsAmount)&lt;0,0,CoveredAmt-CoPayAmount-CoInsAmount)</f>
        <v>75.95</v>
      </c>
      <c r="U3" s="5" t="b">
        <f t="shared" ref="U3:U18" si="16">VLOOKUP(BenefitCategory,BenefitDesignTable,COLUMN(PlanDeductible),FALSE)&gt;0</f>
        <v>0</v>
      </c>
      <c r="V3" s="8">
        <f t="shared" ref="V3:V18" si="17">MAX(0,VLOOKUP(BenefitCategory,BenefitDesignTable,COLUMN(PlanDeductible),FALSE)-SUMIFS(AllowedAmtAfterCopayCoins,PlanDeductibleApplies,TRUE,ClaimNumber,"&lt;"&amp;ClaimNumber))</f>
        <v>0</v>
      </c>
      <c r="W3" s="8">
        <f t="shared" ref="W3:W18" si="18">IF(AllowedAmtAfterCopayCoins&lt;RemainingPlanDeduc,AllowedAmtAfterCopayCoins,RemainingPlanDeduc)</f>
        <v>0</v>
      </c>
      <c r="X3" s="5" t="b">
        <f t="shared" ref="X3:X18" si="19">VLOOKUP(BenefitCategory,BenefitDesignTable,COLUMN(RxDeductible),FALSE)&gt;0</f>
        <v>0</v>
      </c>
      <c r="Y3" s="8">
        <f t="shared" ref="Y3:Y18" si="20">MAX(0,VLOOKUP(BenefitCategory,BenefitDesignTable,COLUMN(RxDeductible),FALSE)-SUMIFS(AllowedAmtAfterCopayCoins,RxDeductibleApplies,TRUE,ClaimNumber,"&lt;"&amp;ClaimNumber))</f>
        <v>0</v>
      </c>
      <c r="Z3" s="8">
        <f t="shared" ref="Z3:Z18" si="21">IF(AllowedAmtAfterCopayCoins&lt;RemainingRxDeduc,AllowedAmtAfterCopayCoins,RemainingRxDeduc)</f>
        <v>0</v>
      </c>
      <c r="AA3" s="5" t="b">
        <f t="shared" ref="AA3:AA18" si="22">VLOOKUP(BenefitCategory,BenefitDesignTable,COLUMN(OptDeductibleC),FALSE)&gt;0</f>
        <v>1</v>
      </c>
      <c r="AB3" s="8">
        <f t="shared" ref="AB3:AB18" si="23">MAX(0,VLOOKUP(BenefitCategory,BenefitDesignTable,COLUMN(OptDeductibleC),FALSE)-SUMIFS(AllowedAmtAfterCopayCoins,DeductibleCApplies,TRUE,ClaimNumber,"&lt;"&amp;ClaimNumber))</f>
        <v>100</v>
      </c>
      <c r="AC3" s="8">
        <f t="shared" ref="AC3:AC18" si="24">IF(AllowedAmtAfterCopayCoins&lt;RemainingDeductibleC,AllowedAmtAfterCopayCoins,RemainingDeductibleC)</f>
        <v>75.95</v>
      </c>
      <c r="AD3" s="5" t="b">
        <f t="shared" ref="AD3:AD18" si="25">VLOOKUP(BenefitCategory,BenefitDesignTable,COLUMN(OptDeductibleD),FALSE)&gt;0</f>
        <v>0</v>
      </c>
      <c r="AE3" s="8">
        <f t="shared" ref="AE3:AE18" si="26">MAX(0,VLOOKUP(BenefitCategory,BenefitDesignTable,COLUMN(OptDeductibleD),FALSE)-SUMIFS(AllowedAmtAfterCopayCoins,DeductibleDApplies,TRUE,ClaimNumber,"&lt;"&amp;ClaimNumber))</f>
        <v>0</v>
      </c>
      <c r="AF3" s="8">
        <f t="shared" ref="AF3:AF18" si="27">IF(AllowedAmtAfterCopayCoins&lt;RemainingDeductibleD,AllowedAmtAfterCopayCoins,RemainingDeductibleD)</f>
        <v>0</v>
      </c>
      <c r="AG3" s="5" t="b">
        <f t="shared" ref="AG3:AG18" si="28">VLOOKUP(BenefitCategory,BenefitDesignTable,COLUMN(BenefitDeductible),FALSE)&gt;0</f>
        <v>0</v>
      </c>
      <c r="AH3" s="8">
        <f t="shared" ref="AH3:AH18" si="29">MAX(0,VLOOKUP(BenefitCategory,BenefitDesignTable,COLUMN(BenefitDeductible),FALSE)-SUMIFS(AllowedAmtAfterCopayCoins,BenefitCategory,BenefitCategory,ClaimNumber,"&lt;"&amp;ClaimNumber))</f>
        <v>0</v>
      </c>
      <c r="AI3" s="8">
        <f t="shared" ref="AI3:AI18" si="30">IF(AllowedAmtAfterCopayCoins&lt;RemainingBenefitDeduc,AllowedAmtAfterCopayCoins,RemainingBenefitDeduc)</f>
        <v>0</v>
      </c>
      <c r="AJ3" s="24">
        <f t="shared" ref="AJ3:AJ18" si="31">PlanDeductiblePayment+RxDeductiblePayment+DeductibleCPayment+DeductibleDPayment+BenefitDeductiblePayment</f>
        <v>75.95</v>
      </c>
      <c r="AK3" s="8">
        <f t="shared" ref="AK3:AK18" si="32">MAX(0,CoveredAmt-PaymentTowardDeductibles)</f>
        <v>0</v>
      </c>
      <c r="AL3" s="8">
        <f t="shared" ref="AL3:AL18" si="33">PaymentTowardDeductibles+CoPayAmount+CoInsAmount</f>
        <v>75.95</v>
      </c>
      <c r="AM3" s="183" t="b">
        <f t="shared" ref="AM3:AM18" si="34">VLOOKUP(BenefitCategory,BenefitDesignTable,COLUMN(BenefitOOPLimitApplies),FALSE)="Yes"</f>
        <v>1</v>
      </c>
      <c r="AN3" s="8">
        <f t="shared" ref="AN3:AN18" si="35">IF(OPLApplies,SubscriberPaymentBeforeOPL,0)</f>
        <v>75.95</v>
      </c>
      <c r="AO3" s="54">
        <f t="shared" ref="AO3:AO18" si="36">MAX(0,VLOOKUP(BenefitCategory,BenefitDesignTable,COLUMN(OPLimit),FALSE)-SUMIFS(AmountSubjectToOPL,OPLApplies,TRUE,ClaimNumber,"&lt;"&amp;ClaimNumber))</f>
        <v>5000</v>
      </c>
      <c r="AP3" s="8">
        <f t="shared" ref="AP3:AP18" si="37">IF(OPLApplies,IF(SubscriberPaymentBeforeOPL&lt;AmountSubjectToOPL,SubscriberPaymentBeforeOPL,AmountSubjectToOPL),SubscriberPaymentBeforeOPL)</f>
        <v>75.95</v>
      </c>
      <c r="AQ3" s="106">
        <f>IF((CoveredAmt-SubscriberPaymentAfterOPL)&lt;0,0,CoveredAmt-SubscriberPaymentAfterOPL)</f>
        <v>0</v>
      </c>
      <c r="AR3" s="106">
        <f t="shared" ref="AR3:AR18" si="38">NotCoveredAmt</f>
        <v>0</v>
      </c>
      <c r="AS3" s="106">
        <f t="shared" ref="AS3:AS18" si="39">AmtExceedMonthLimit+AmtExceedAnnualLimit</f>
        <v>0</v>
      </c>
      <c r="AT3" s="106">
        <f t="shared" ref="AT3:AT18" si="40">IF(CoPayAmount&lt;SubscriberPaymentAfterOPL,CoPayAmount,SubscriberPaymentAfterOPL)</f>
        <v>0</v>
      </c>
      <c r="AU3" s="106">
        <f t="shared" ref="AU3:AU18" si="41">IF(CoInsAmount&lt;SubscriberPaymentAfterOPL,CoInsAmount,SubscriberPaymentAfterOPL)</f>
        <v>0</v>
      </c>
      <c r="AV3" s="106">
        <f t="shared" ref="AV3:AV18" si="42">IF(PaymentTowardDeductibles&lt;(SubscriberPaymentAfterOPL-CoPayAmount-CoInsAmount),(SubscriberPaymentAfterOPL-CoPayAmount-CoInsAmount),PaymentTowardDeductibles)</f>
        <v>75.95</v>
      </c>
      <c r="AW3" t="b">
        <f t="shared" ref="AW3:AW18" si="43">SUM(AS3:AV3)=AP3</f>
        <v>1</v>
      </c>
      <c r="AX3" t="b">
        <f t="shared" ref="AX3:AX18" si="44">SUM(AQ3:AV3)=H3</f>
        <v>1</v>
      </c>
    </row>
    <row r="4" spans="1:50" x14ac:dyDescent="0.25">
      <c r="A4" s="1">
        <f t="shared" ref="A4:A18" si="45">A3+1</f>
        <v>2</v>
      </c>
      <c r="B4" s="10">
        <v>41792</v>
      </c>
      <c r="C4" s="5">
        <v>6</v>
      </c>
      <c r="D4" s="13">
        <v>18</v>
      </c>
      <c r="E4" s="57" t="str">
        <f t="shared" si="0"/>
        <v>Ambulance service, basic life support, emergency transport (bls-emergency)</v>
      </c>
      <c r="F4" t="str">
        <f t="shared" si="1"/>
        <v>Ambulance</v>
      </c>
      <c r="G4" t="str">
        <f t="shared" si="2"/>
        <v>Deductible C Only</v>
      </c>
      <c r="H4" s="109">
        <f t="shared" si="3"/>
        <v>516.6</v>
      </c>
      <c r="I4" s="109">
        <f t="shared" si="4"/>
        <v>0</v>
      </c>
      <c r="J4" s="109">
        <f t="shared" si="5"/>
        <v>516.6</v>
      </c>
      <c r="K4" s="5" t="str">
        <f t="shared" si="6"/>
        <v>None</v>
      </c>
      <c r="L4">
        <f t="shared" si="7"/>
        <v>0</v>
      </c>
      <c r="M4" s="3">
        <f t="shared" si="8"/>
        <v>0</v>
      </c>
      <c r="N4" s="5" t="str">
        <f t="shared" si="9"/>
        <v>None</v>
      </c>
      <c r="O4">
        <f t="shared" si="10"/>
        <v>0</v>
      </c>
      <c r="P4" s="3">
        <f t="shared" si="11"/>
        <v>0</v>
      </c>
      <c r="Q4" s="8">
        <f t="shared" si="12"/>
        <v>0</v>
      </c>
      <c r="R4" s="16">
        <f t="shared" si="13"/>
        <v>0</v>
      </c>
      <c r="S4" s="8">
        <f t="shared" si="14"/>
        <v>0</v>
      </c>
      <c r="T4" s="8">
        <f t="shared" si="15"/>
        <v>516.6</v>
      </c>
      <c r="U4" s="5" t="b">
        <f t="shared" si="16"/>
        <v>0</v>
      </c>
      <c r="V4" s="8">
        <f t="shared" si="17"/>
        <v>0</v>
      </c>
      <c r="W4" s="8">
        <f t="shared" si="18"/>
        <v>0</v>
      </c>
      <c r="X4" s="5" t="b">
        <f t="shared" si="19"/>
        <v>0</v>
      </c>
      <c r="Y4" s="8">
        <f t="shared" si="20"/>
        <v>0</v>
      </c>
      <c r="Z4" s="8">
        <f t="shared" si="21"/>
        <v>0</v>
      </c>
      <c r="AA4" s="5" t="b">
        <f t="shared" si="22"/>
        <v>1</v>
      </c>
      <c r="AB4" s="8">
        <f t="shared" si="23"/>
        <v>24.049999999999997</v>
      </c>
      <c r="AC4" s="8">
        <f t="shared" si="24"/>
        <v>24.049999999999997</v>
      </c>
      <c r="AD4" s="5" t="b">
        <f t="shared" si="25"/>
        <v>0</v>
      </c>
      <c r="AE4" s="8">
        <f t="shared" si="26"/>
        <v>0</v>
      </c>
      <c r="AF4" s="8">
        <f t="shared" si="27"/>
        <v>0</v>
      </c>
      <c r="AG4" s="5" t="b">
        <f t="shared" si="28"/>
        <v>0</v>
      </c>
      <c r="AH4" s="8">
        <f t="shared" si="29"/>
        <v>0</v>
      </c>
      <c r="AI4" s="8">
        <f t="shared" si="30"/>
        <v>0</v>
      </c>
      <c r="AJ4" s="24">
        <f t="shared" si="31"/>
        <v>24.049999999999997</v>
      </c>
      <c r="AK4" s="8">
        <f t="shared" si="32"/>
        <v>492.55</v>
      </c>
      <c r="AL4" s="8">
        <f t="shared" si="33"/>
        <v>24.049999999999997</v>
      </c>
      <c r="AM4" s="183" t="b">
        <f t="shared" si="34"/>
        <v>1</v>
      </c>
      <c r="AN4" s="8">
        <f t="shared" si="35"/>
        <v>24.049999999999997</v>
      </c>
      <c r="AO4" s="54">
        <f t="shared" si="36"/>
        <v>4924.05</v>
      </c>
      <c r="AP4" s="8">
        <f t="shared" si="37"/>
        <v>24.049999999999997</v>
      </c>
      <c r="AQ4" s="8">
        <f t="shared" ref="AQ4:AQ18" si="46">IF(CoveredAmt&lt;SubscriberPaymentAfterOPL,0,CoveredAmt-SubscriberPaymentAfterOPL)</f>
        <v>492.55</v>
      </c>
      <c r="AR4" s="106">
        <f t="shared" si="38"/>
        <v>0</v>
      </c>
      <c r="AS4" s="106">
        <f t="shared" si="39"/>
        <v>0</v>
      </c>
      <c r="AT4" s="106">
        <f t="shared" si="40"/>
        <v>0</v>
      </c>
      <c r="AU4" s="106">
        <f t="shared" si="41"/>
        <v>0</v>
      </c>
      <c r="AV4" s="106">
        <f t="shared" si="42"/>
        <v>24.049999999999997</v>
      </c>
      <c r="AW4" t="b">
        <f t="shared" si="43"/>
        <v>1</v>
      </c>
      <c r="AX4" t="b">
        <f t="shared" si="44"/>
        <v>1</v>
      </c>
    </row>
    <row r="5" spans="1:50" x14ac:dyDescent="0.25">
      <c r="A5" s="1">
        <f t="shared" si="45"/>
        <v>3</v>
      </c>
      <c r="B5" s="10">
        <v>41792</v>
      </c>
      <c r="C5" s="5">
        <v>6</v>
      </c>
      <c r="D5" s="13">
        <v>4</v>
      </c>
      <c r="E5" s="57" t="str">
        <f t="shared" si="0"/>
        <v>Emergency department visit for evaluation and management of patient, which req 3 key components. Usually, presenting problem(s) are high severity, &amp; require urgent physician evaluation but do not pose</v>
      </c>
      <c r="F5" t="str">
        <f t="shared" si="1"/>
        <v>Professional Services: Emergency Department</v>
      </c>
      <c r="G5" t="str">
        <f t="shared" si="2"/>
        <v>Deductible C Only</v>
      </c>
      <c r="H5" s="109">
        <f t="shared" si="3"/>
        <v>271.37</v>
      </c>
      <c r="I5" s="109">
        <f t="shared" si="4"/>
        <v>0</v>
      </c>
      <c r="J5" s="109">
        <f t="shared" si="5"/>
        <v>271.37</v>
      </c>
      <c r="K5" s="5" t="str">
        <f t="shared" si="6"/>
        <v>None</v>
      </c>
      <c r="L5">
        <f t="shared" si="7"/>
        <v>0</v>
      </c>
      <c r="M5" s="3">
        <f t="shared" si="8"/>
        <v>0</v>
      </c>
      <c r="N5" s="5" t="str">
        <f t="shared" si="9"/>
        <v>None</v>
      </c>
      <c r="O5">
        <f t="shared" si="10"/>
        <v>0</v>
      </c>
      <c r="P5" s="3">
        <f t="shared" si="11"/>
        <v>0</v>
      </c>
      <c r="Q5" s="8">
        <f t="shared" si="12"/>
        <v>0</v>
      </c>
      <c r="R5" s="16">
        <f t="shared" si="13"/>
        <v>0</v>
      </c>
      <c r="S5" s="8">
        <f t="shared" si="14"/>
        <v>0</v>
      </c>
      <c r="T5" s="8">
        <f t="shared" si="15"/>
        <v>271.37</v>
      </c>
      <c r="U5" s="5" t="b">
        <f t="shared" si="16"/>
        <v>0</v>
      </c>
      <c r="V5" s="8">
        <f t="shared" si="17"/>
        <v>0</v>
      </c>
      <c r="W5" s="8">
        <f t="shared" si="18"/>
        <v>0</v>
      </c>
      <c r="X5" s="5" t="b">
        <f t="shared" si="19"/>
        <v>0</v>
      </c>
      <c r="Y5" s="8">
        <f t="shared" si="20"/>
        <v>0</v>
      </c>
      <c r="Z5" s="8">
        <f t="shared" si="21"/>
        <v>0</v>
      </c>
      <c r="AA5" s="5" t="b">
        <f t="shared" si="22"/>
        <v>1</v>
      </c>
      <c r="AB5" s="8">
        <f t="shared" si="23"/>
        <v>0</v>
      </c>
      <c r="AC5" s="8">
        <f t="shared" si="24"/>
        <v>0</v>
      </c>
      <c r="AD5" s="5" t="b">
        <f t="shared" si="25"/>
        <v>0</v>
      </c>
      <c r="AE5" s="8">
        <f t="shared" si="26"/>
        <v>0</v>
      </c>
      <c r="AF5" s="8">
        <f t="shared" si="27"/>
        <v>0</v>
      </c>
      <c r="AG5" s="5" t="b">
        <f t="shared" si="28"/>
        <v>0</v>
      </c>
      <c r="AH5" s="8">
        <f t="shared" si="29"/>
        <v>0</v>
      </c>
      <c r="AI5" s="8">
        <f t="shared" si="30"/>
        <v>0</v>
      </c>
      <c r="AJ5" s="24">
        <f t="shared" si="31"/>
        <v>0</v>
      </c>
      <c r="AK5" s="8">
        <f t="shared" si="32"/>
        <v>271.37</v>
      </c>
      <c r="AL5" s="8">
        <f t="shared" si="33"/>
        <v>0</v>
      </c>
      <c r="AM5" s="183" t="b">
        <f t="shared" si="34"/>
        <v>1</v>
      </c>
      <c r="AN5" s="8">
        <f t="shared" si="35"/>
        <v>0</v>
      </c>
      <c r="AO5" s="54">
        <f t="shared" si="36"/>
        <v>4900</v>
      </c>
      <c r="AP5" s="8">
        <f t="shared" si="37"/>
        <v>0</v>
      </c>
      <c r="AQ5" s="8">
        <f t="shared" si="46"/>
        <v>271.37</v>
      </c>
      <c r="AR5" s="106">
        <f t="shared" si="38"/>
        <v>0</v>
      </c>
      <c r="AS5" s="106">
        <f t="shared" si="39"/>
        <v>0</v>
      </c>
      <c r="AT5" s="106">
        <f t="shared" si="40"/>
        <v>0</v>
      </c>
      <c r="AU5" s="106">
        <f t="shared" si="41"/>
        <v>0</v>
      </c>
      <c r="AV5" s="106">
        <f t="shared" si="42"/>
        <v>0</v>
      </c>
      <c r="AW5" t="b">
        <f t="shared" si="43"/>
        <v>1</v>
      </c>
      <c r="AX5" t="b">
        <f t="shared" si="44"/>
        <v>1</v>
      </c>
    </row>
    <row r="6" spans="1:50" x14ac:dyDescent="0.25">
      <c r="A6" s="1">
        <f t="shared" si="45"/>
        <v>4</v>
      </c>
      <c r="B6" s="10">
        <v>41792</v>
      </c>
      <c r="C6" s="5">
        <v>6</v>
      </c>
      <c r="D6" s="13">
        <v>5</v>
      </c>
      <c r="E6" s="57" t="str">
        <f t="shared" si="0"/>
        <v>Radiologic examination, foot; complete, minimum of 3 views</v>
      </c>
      <c r="F6" t="str">
        <f t="shared" si="1"/>
        <v>Professional Services: Emergency Department</v>
      </c>
      <c r="G6" t="str">
        <f t="shared" si="2"/>
        <v>Deductible C Only</v>
      </c>
      <c r="H6" s="109">
        <f t="shared" si="3"/>
        <v>33.92</v>
      </c>
      <c r="I6" s="109">
        <f t="shared" si="4"/>
        <v>0</v>
      </c>
      <c r="J6" s="109">
        <f t="shared" si="5"/>
        <v>33.92</v>
      </c>
      <c r="K6" s="5" t="str">
        <f t="shared" si="6"/>
        <v>None</v>
      </c>
      <c r="L6">
        <f t="shared" si="7"/>
        <v>0</v>
      </c>
      <c r="M6" s="3">
        <f t="shared" si="8"/>
        <v>0</v>
      </c>
      <c r="N6" s="5" t="str">
        <f t="shared" si="9"/>
        <v>None</v>
      </c>
      <c r="O6">
        <f t="shared" si="10"/>
        <v>0</v>
      </c>
      <c r="P6" s="3">
        <f t="shared" si="11"/>
        <v>0</v>
      </c>
      <c r="Q6" s="8">
        <f t="shared" si="12"/>
        <v>0</v>
      </c>
      <c r="R6" s="16">
        <f t="shared" si="13"/>
        <v>0</v>
      </c>
      <c r="S6" s="8">
        <f t="shared" si="14"/>
        <v>0</v>
      </c>
      <c r="T6" s="8">
        <f t="shared" si="15"/>
        <v>33.92</v>
      </c>
      <c r="U6" s="5" t="b">
        <f t="shared" si="16"/>
        <v>0</v>
      </c>
      <c r="V6" s="8">
        <f t="shared" si="17"/>
        <v>0</v>
      </c>
      <c r="W6" s="8">
        <f t="shared" si="18"/>
        <v>0</v>
      </c>
      <c r="X6" s="5" t="b">
        <f t="shared" si="19"/>
        <v>0</v>
      </c>
      <c r="Y6" s="8">
        <f t="shared" si="20"/>
        <v>0</v>
      </c>
      <c r="Z6" s="8">
        <f t="shared" si="21"/>
        <v>0</v>
      </c>
      <c r="AA6" s="5" t="b">
        <f t="shared" si="22"/>
        <v>1</v>
      </c>
      <c r="AB6" s="8">
        <f t="shared" si="23"/>
        <v>0</v>
      </c>
      <c r="AC6" s="8">
        <f t="shared" si="24"/>
        <v>0</v>
      </c>
      <c r="AD6" s="5" t="b">
        <f t="shared" si="25"/>
        <v>0</v>
      </c>
      <c r="AE6" s="8">
        <f t="shared" si="26"/>
        <v>0</v>
      </c>
      <c r="AF6" s="8">
        <f t="shared" si="27"/>
        <v>0</v>
      </c>
      <c r="AG6" s="5" t="b">
        <f t="shared" si="28"/>
        <v>0</v>
      </c>
      <c r="AH6" s="8">
        <f t="shared" si="29"/>
        <v>0</v>
      </c>
      <c r="AI6" s="8">
        <f t="shared" si="30"/>
        <v>0</v>
      </c>
      <c r="AJ6" s="24">
        <f t="shared" si="31"/>
        <v>0</v>
      </c>
      <c r="AK6" s="8">
        <f t="shared" si="32"/>
        <v>33.92</v>
      </c>
      <c r="AL6" s="8">
        <f t="shared" si="33"/>
        <v>0</v>
      </c>
      <c r="AM6" s="183" t="b">
        <f t="shared" si="34"/>
        <v>1</v>
      </c>
      <c r="AN6" s="8">
        <f t="shared" si="35"/>
        <v>0</v>
      </c>
      <c r="AO6" s="54">
        <f t="shared" si="36"/>
        <v>4900</v>
      </c>
      <c r="AP6" s="8">
        <f t="shared" si="37"/>
        <v>0</v>
      </c>
      <c r="AQ6" s="8">
        <f t="shared" si="46"/>
        <v>33.92</v>
      </c>
      <c r="AR6" s="106">
        <f t="shared" si="38"/>
        <v>0</v>
      </c>
      <c r="AS6" s="106">
        <f t="shared" si="39"/>
        <v>0</v>
      </c>
      <c r="AT6" s="106">
        <f t="shared" si="40"/>
        <v>0</v>
      </c>
      <c r="AU6" s="106">
        <f t="shared" si="41"/>
        <v>0</v>
      </c>
      <c r="AV6" s="106">
        <f t="shared" si="42"/>
        <v>0</v>
      </c>
      <c r="AW6" t="b">
        <f t="shared" si="43"/>
        <v>1</v>
      </c>
      <c r="AX6" t="b">
        <f t="shared" si="44"/>
        <v>1</v>
      </c>
    </row>
    <row r="7" spans="1:50" x14ac:dyDescent="0.25">
      <c r="A7" s="1">
        <f t="shared" si="45"/>
        <v>5</v>
      </c>
      <c r="B7" s="10">
        <v>41792</v>
      </c>
      <c r="C7" s="5">
        <v>6</v>
      </c>
      <c r="D7" s="13">
        <v>6</v>
      </c>
      <c r="E7" s="57" t="str">
        <f t="shared" si="0"/>
        <v>Closed treatment of metatarsal fracture; without manipulation, each</v>
      </c>
      <c r="F7" t="str">
        <f t="shared" si="1"/>
        <v>Professional Services: Emergency Department</v>
      </c>
      <c r="G7" t="str">
        <f t="shared" si="2"/>
        <v>Deductible C Only</v>
      </c>
      <c r="H7" s="109">
        <f t="shared" si="3"/>
        <v>252.12</v>
      </c>
      <c r="I7" s="109">
        <f t="shared" si="4"/>
        <v>0</v>
      </c>
      <c r="J7" s="109">
        <f t="shared" si="5"/>
        <v>252.12</v>
      </c>
      <c r="K7" s="5" t="str">
        <f t="shared" si="6"/>
        <v>None</v>
      </c>
      <c r="L7">
        <f t="shared" si="7"/>
        <v>0</v>
      </c>
      <c r="M7" s="3">
        <f t="shared" si="8"/>
        <v>0</v>
      </c>
      <c r="N7" s="5" t="str">
        <f t="shared" si="9"/>
        <v>None</v>
      </c>
      <c r="O7">
        <f t="shared" si="10"/>
        <v>0</v>
      </c>
      <c r="P7" s="3">
        <f t="shared" si="11"/>
        <v>0</v>
      </c>
      <c r="Q7" s="8">
        <f t="shared" si="12"/>
        <v>0</v>
      </c>
      <c r="R7" s="16">
        <f t="shared" si="13"/>
        <v>0</v>
      </c>
      <c r="S7" s="8">
        <f t="shared" si="14"/>
        <v>0</v>
      </c>
      <c r="T7" s="8">
        <f t="shared" si="15"/>
        <v>252.12</v>
      </c>
      <c r="U7" s="5" t="b">
        <f t="shared" si="16"/>
        <v>0</v>
      </c>
      <c r="V7" s="8">
        <f t="shared" si="17"/>
        <v>0</v>
      </c>
      <c r="W7" s="8">
        <f t="shared" si="18"/>
        <v>0</v>
      </c>
      <c r="X7" s="5" t="b">
        <f t="shared" si="19"/>
        <v>0</v>
      </c>
      <c r="Y7" s="8">
        <f t="shared" si="20"/>
        <v>0</v>
      </c>
      <c r="Z7" s="8">
        <f t="shared" si="21"/>
        <v>0</v>
      </c>
      <c r="AA7" s="5" t="b">
        <f t="shared" si="22"/>
        <v>1</v>
      </c>
      <c r="AB7" s="8">
        <f t="shared" si="23"/>
        <v>0</v>
      </c>
      <c r="AC7" s="8">
        <f t="shared" si="24"/>
        <v>0</v>
      </c>
      <c r="AD7" s="5" t="b">
        <f t="shared" si="25"/>
        <v>0</v>
      </c>
      <c r="AE7" s="8">
        <f t="shared" si="26"/>
        <v>0</v>
      </c>
      <c r="AF7" s="8">
        <f t="shared" si="27"/>
        <v>0</v>
      </c>
      <c r="AG7" s="5" t="b">
        <f t="shared" si="28"/>
        <v>0</v>
      </c>
      <c r="AH7" s="8">
        <f t="shared" si="29"/>
        <v>0</v>
      </c>
      <c r="AI7" s="8">
        <f t="shared" si="30"/>
        <v>0</v>
      </c>
      <c r="AJ7" s="24">
        <f t="shared" si="31"/>
        <v>0</v>
      </c>
      <c r="AK7" s="8">
        <f t="shared" si="32"/>
        <v>252.12</v>
      </c>
      <c r="AL7" s="8">
        <f t="shared" si="33"/>
        <v>0</v>
      </c>
      <c r="AM7" s="183" t="b">
        <f t="shared" si="34"/>
        <v>1</v>
      </c>
      <c r="AN7" s="8">
        <f t="shared" si="35"/>
        <v>0</v>
      </c>
      <c r="AO7" s="54">
        <f t="shared" si="36"/>
        <v>4900</v>
      </c>
      <c r="AP7" s="8">
        <f t="shared" si="37"/>
        <v>0</v>
      </c>
      <c r="AQ7" s="8">
        <f t="shared" si="46"/>
        <v>252.12</v>
      </c>
      <c r="AR7" s="106">
        <f t="shared" si="38"/>
        <v>0</v>
      </c>
      <c r="AS7" s="106">
        <f t="shared" si="39"/>
        <v>0</v>
      </c>
      <c r="AT7" s="106">
        <f t="shared" si="40"/>
        <v>0</v>
      </c>
      <c r="AU7" s="106">
        <f t="shared" si="41"/>
        <v>0</v>
      </c>
      <c r="AV7" s="106">
        <f t="shared" si="42"/>
        <v>0</v>
      </c>
      <c r="AW7" t="b">
        <f t="shared" si="43"/>
        <v>1</v>
      </c>
      <c r="AX7" t="b">
        <f t="shared" si="44"/>
        <v>1</v>
      </c>
    </row>
    <row r="8" spans="1:50" x14ac:dyDescent="0.25">
      <c r="A8" s="1">
        <f t="shared" si="45"/>
        <v>6</v>
      </c>
      <c r="B8" s="10">
        <v>41792</v>
      </c>
      <c r="C8" s="5">
        <v>6</v>
      </c>
      <c r="D8" s="13">
        <v>19</v>
      </c>
      <c r="E8" s="57" t="str">
        <f>VLOOKUP(ServiceCode,FractureFeeSchedule,6,FALSE)</f>
        <v>Walking boot, non-pneumatic, with or without joints, with or without interface material, prefabricated, off-the-shelf</v>
      </c>
      <c r="F8" t="str">
        <f t="shared" si="1"/>
        <v>Durable Medical Equipment</v>
      </c>
      <c r="G8" t="str">
        <f t="shared" si="2"/>
        <v>Plan Deductible Only</v>
      </c>
      <c r="H8" s="109">
        <f t="shared" si="3"/>
        <v>162</v>
      </c>
      <c r="I8" s="109">
        <f t="shared" si="4"/>
        <v>0</v>
      </c>
      <c r="J8" s="109">
        <f t="shared" si="5"/>
        <v>162</v>
      </c>
      <c r="K8" s="5" t="str">
        <f t="shared" si="6"/>
        <v>None</v>
      </c>
      <c r="L8">
        <f t="shared" si="7"/>
        <v>0</v>
      </c>
      <c r="M8" s="3">
        <f t="shared" si="8"/>
        <v>0</v>
      </c>
      <c r="N8" s="5" t="str">
        <f t="shared" si="9"/>
        <v>None</v>
      </c>
      <c r="O8">
        <f t="shared" si="10"/>
        <v>0</v>
      </c>
      <c r="P8" s="3">
        <f t="shared" si="11"/>
        <v>0</v>
      </c>
      <c r="Q8" s="8">
        <f t="shared" si="12"/>
        <v>0</v>
      </c>
      <c r="R8" s="16">
        <f t="shared" si="13"/>
        <v>0</v>
      </c>
      <c r="S8" s="8">
        <f t="shared" si="14"/>
        <v>0</v>
      </c>
      <c r="T8" s="8">
        <f t="shared" si="15"/>
        <v>162</v>
      </c>
      <c r="U8" s="5" t="b">
        <f t="shared" si="16"/>
        <v>1</v>
      </c>
      <c r="V8" s="8">
        <f t="shared" si="17"/>
        <v>1000</v>
      </c>
      <c r="W8" s="8">
        <f t="shared" si="18"/>
        <v>162</v>
      </c>
      <c r="X8" s="5" t="b">
        <f t="shared" si="19"/>
        <v>0</v>
      </c>
      <c r="Y8" s="8">
        <f t="shared" si="20"/>
        <v>0</v>
      </c>
      <c r="Z8" s="8">
        <f t="shared" si="21"/>
        <v>0</v>
      </c>
      <c r="AA8" s="5" t="b">
        <f t="shared" si="22"/>
        <v>0</v>
      </c>
      <c r="AB8" s="8">
        <f t="shared" si="23"/>
        <v>0</v>
      </c>
      <c r="AC8" s="8">
        <f t="shared" si="24"/>
        <v>0</v>
      </c>
      <c r="AD8" s="5" t="b">
        <f t="shared" si="25"/>
        <v>0</v>
      </c>
      <c r="AE8" s="8">
        <f t="shared" si="26"/>
        <v>0</v>
      </c>
      <c r="AF8" s="8">
        <f t="shared" si="27"/>
        <v>0</v>
      </c>
      <c r="AG8" s="5" t="b">
        <f t="shared" si="28"/>
        <v>0</v>
      </c>
      <c r="AH8" s="8">
        <f t="shared" si="29"/>
        <v>0</v>
      </c>
      <c r="AI8" s="8">
        <f t="shared" si="30"/>
        <v>0</v>
      </c>
      <c r="AJ8" s="24">
        <f t="shared" si="31"/>
        <v>162</v>
      </c>
      <c r="AK8" s="8">
        <f t="shared" si="32"/>
        <v>0</v>
      </c>
      <c r="AL8" s="8">
        <f t="shared" si="33"/>
        <v>162</v>
      </c>
      <c r="AM8" s="183" t="b">
        <f t="shared" si="34"/>
        <v>1</v>
      </c>
      <c r="AN8" s="8">
        <f t="shared" si="35"/>
        <v>162</v>
      </c>
      <c r="AO8" s="54">
        <f t="shared" si="36"/>
        <v>4900</v>
      </c>
      <c r="AP8" s="8">
        <f t="shared" si="37"/>
        <v>162</v>
      </c>
      <c r="AQ8" s="8">
        <f t="shared" si="46"/>
        <v>0</v>
      </c>
      <c r="AR8" s="106">
        <f t="shared" si="38"/>
        <v>0</v>
      </c>
      <c r="AS8" s="106">
        <f t="shared" si="39"/>
        <v>0</v>
      </c>
      <c r="AT8" s="106">
        <f t="shared" si="40"/>
        <v>0</v>
      </c>
      <c r="AU8" s="106">
        <f t="shared" si="41"/>
        <v>0</v>
      </c>
      <c r="AV8" s="106">
        <f t="shared" si="42"/>
        <v>162</v>
      </c>
      <c r="AW8" t="b">
        <f t="shared" si="43"/>
        <v>1</v>
      </c>
      <c r="AX8" t="b">
        <f t="shared" si="44"/>
        <v>1</v>
      </c>
    </row>
    <row r="9" spans="1:50" x14ac:dyDescent="0.25">
      <c r="A9" s="1">
        <f t="shared" si="45"/>
        <v>7</v>
      </c>
      <c r="B9" s="10">
        <v>41792</v>
      </c>
      <c r="C9" s="5">
        <v>6</v>
      </c>
      <c r="D9" s="13">
        <v>9</v>
      </c>
      <c r="E9" s="57" t="str">
        <f t="shared" si="0"/>
        <v>Crutches, underarm, other than wood, adjustable or fixed, pair, with pads, tips, and handgrips</v>
      </c>
      <c r="F9" t="str">
        <f t="shared" si="1"/>
        <v>Durable Medical Equipment</v>
      </c>
      <c r="G9" t="str">
        <f t="shared" si="2"/>
        <v>Plan Deductible Only</v>
      </c>
      <c r="H9" s="109">
        <f t="shared" si="3"/>
        <v>36.61</v>
      </c>
      <c r="I9" s="109">
        <f t="shared" si="4"/>
        <v>0</v>
      </c>
      <c r="J9" s="109">
        <f t="shared" si="5"/>
        <v>36.61</v>
      </c>
      <c r="K9" s="5" t="str">
        <f t="shared" si="6"/>
        <v>None</v>
      </c>
      <c r="L9">
        <f t="shared" si="7"/>
        <v>0</v>
      </c>
      <c r="M9" s="3">
        <f t="shared" si="8"/>
        <v>0</v>
      </c>
      <c r="N9" s="5" t="str">
        <f t="shared" si="9"/>
        <v>None</v>
      </c>
      <c r="O9">
        <f t="shared" si="10"/>
        <v>0</v>
      </c>
      <c r="P9" s="3">
        <f t="shared" si="11"/>
        <v>0</v>
      </c>
      <c r="Q9" s="8">
        <f t="shared" si="12"/>
        <v>0</v>
      </c>
      <c r="R9" s="16">
        <f t="shared" si="13"/>
        <v>0</v>
      </c>
      <c r="S9" s="8">
        <f t="shared" si="14"/>
        <v>0</v>
      </c>
      <c r="T9" s="8">
        <f t="shared" si="15"/>
        <v>36.61</v>
      </c>
      <c r="U9" s="5" t="b">
        <f t="shared" si="16"/>
        <v>1</v>
      </c>
      <c r="V9" s="8">
        <f t="shared" si="17"/>
        <v>838</v>
      </c>
      <c r="W9" s="8">
        <f t="shared" si="18"/>
        <v>36.61</v>
      </c>
      <c r="X9" s="5" t="b">
        <f t="shared" si="19"/>
        <v>0</v>
      </c>
      <c r="Y9" s="8">
        <f t="shared" si="20"/>
        <v>0</v>
      </c>
      <c r="Z9" s="8">
        <f t="shared" si="21"/>
        <v>0</v>
      </c>
      <c r="AA9" s="5" t="b">
        <f t="shared" si="22"/>
        <v>0</v>
      </c>
      <c r="AB9" s="8">
        <f t="shared" si="23"/>
        <v>0</v>
      </c>
      <c r="AC9" s="8">
        <f t="shared" si="24"/>
        <v>0</v>
      </c>
      <c r="AD9" s="5" t="b">
        <f t="shared" si="25"/>
        <v>0</v>
      </c>
      <c r="AE9" s="8">
        <f t="shared" si="26"/>
        <v>0</v>
      </c>
      <c r="AF9" s="8">
        <f t="shared" si="27"/>
        <v>0</v>
      </c>
      <c r="AG9" s="5" t="b">
        <f t="shared" si="28"/>
        <v>0</v>
      </c>
      <c r="AH9" s="8">
        <f t="shared" si="29"/>
        <v>0</v>
      </c>
      <c r="AI9" s="8">
        <f t="shared" si="30"/>
        <v>0</v>
      </c>
      <c r="AJ9" s="24">
        <f t="shared" si="31"/>
        <v>36.61</v>
      </c>
      <c r="AK9" s="8">
        <f t="shared" si="32"/>
        <v>0</v>
      </c>
      <c r="AL9" s="8">
        <f t="shared" si="33"/>
        <v>36.61</v>
      </c>
      <c r="AM9" s="183" t="b">
        <f t="shared" si="34"/>
        <v>1</v>
      </c>
      <c r="AN9" s="8">
        <f t="shared" si="35"/>
        <v>36.61</v>
      </c>
      <c r="AO9" s="54">
        <f t="shared" si="36"/>
        <v>4738</v>
      </c>
      <c r="AP9" s="8">
        <f t="shared" si="37"/>
        <v>36.61</v>
      </c>
      <c r="AQ9" s="8">
        <f t="shared" si="46"/>
        <v>0</v>
      </c>
      <c r="AR9" s="106">
        <f t="shared" si="38"/>
        <v>0</v>
      </c>
      <c r="AS9" s="106">
        <f t="shared" si="39"/>
        <v>0</v>
      </c>
      <c r="AT9" s="106">
        <f t="shared" si="40"/>
        <v>0</v>
      </c>
      <c r="AU9" s="106">
        <f t="shared" si="41"/>
        <v>0</v>
      </c>
      <c r="AV9" s="106">
        <f t="shared" si="42"/>
        <v>36.61</v>
      </c>
      <c r="AW9" t="b">
        <f t="shared" si="43"/>
        <v>1</v>
      </c>
      <c r="AX9" t="b">
        <f t="shared" si="44"/>
        <v>1</v>
      </c>
    </row>
    <row r="10" spans="1:50" x14ac:dyDescent="0.25">
      <c r="A10" s="1">
        <f t="shared" si="45"/>
        <v>8</v>
      </c>
      <c r="B10" s="10">
        <v>41806</v>
      </c>
      <c r="C10" s="5">
        <v>6</v>
      </c>
      <c r="D10" s="13">
        <v>11</v>
      </c>
      <c r="E10" s="57" t="str">
        <f t="shared" si="0"/>
        <v>Office or other outpatient visit for the evaluation and management of a new patient, which requires at least 3 key components. Physicians typically spend 30 minutes face-to-face with the patient.</v>
      </c>
      <c r="F10" t="str">
        <f t="shared" si="1"/>
        <v>Professional Services: Specialist</v>
      </c>
      <c r="G10" t="str">
        <f t="shared" si="2"/>
        <v>Plan Deductible Only</v>
      </c>
      <c r="H10" s="109">
        <f t="shared" si="3"/>
        <v>109.78</v>
      </c>
      <c r="I10" s="109">
        <f t="shared" si="4"/>
        <v>0</v>
      </c>
      <c r="J10" s="109">
        <f t="shared" si="5"/>
        <v>109.78</v>
      </c>
      <c r="K10" s="5" t="str">
        <f t="shared" si="6"/>
        <v>None</v>
      </c>
      <c r="L10">
        <f t="shared" si="7"/>
        <v>0</v>
      </c>
      <c r="M10" s="3">
        <f t="shared" si="8"/>
        <v>0</v>
      </c>
      <c r="N10" s="5" t="str">
        <f t="shared" si="9"/>
        <v>None</v>
      </c>
      <c r="O10">
        <f t="shared" si="10"/>
        <v>0</v>
      </c>
      <c r="P10" s="3">
        <f t="shared" si="11"/>
        <v>0</v>
      </c>
      <c r="Q10" s="8">
        <f t="shared" si="12"/>
        <v>0</v>
      </c>
      <c r="R10" s="16">
        <f t="shared" si="13"/>
        <v>0</v>
      </c>
      <c r="S10" s="8">
        <f t="shared" si="14"/>
        <v>0</v>
      </c>
      <c r="T10" s="8">
        <f t="shared" si="15"/>
        <v>109.78</v>
      </c>
      <c r="U10" s="5" t="b">
        <f t="shared" si="16"/>
        <v>1</v>
      </c>
      <c r="V10" s="8">
        <f t="shared" si="17"/>
        <v>801.39</v>
      </c>
      <c r="W10" s="8">
        <f t="shared" si="18"/>
        <v>109.78</v>
      </c>
      <c r="X10" s="5" t="b">
        <f t="shared" si="19"/>
        <v>0</v>
      </c>
      <c r="Y10" s="8">
        <f t="shared" si="20"/>
        <v>0</v>
      </c>
      <c r="Z10" s="8">
        <f t="shared" si="21"/>
        <v>0</v>
      </c>
      <c r="AA10" s="5" t="b">
        <f t="shared" si="22"/>
        <v>0</v>
      </c>
      <c r="AB10" s="8">
        <f t="shared" si="23"/>
        <v>0</v>
      </c>
      <c r="AC10" s="8">
        <f t="shared" si="24"/>
        <v>0</v>
      </c>
      <c r="AD10" s="5" t="b">
        <f t="shared" si="25"/>
        <v>0</v>
      </c>
      <c r="AE10" s="8">
        <f t="shared" si="26"/>
        <v>0</v>
      </c>
      <c r="AF10" s="8">
        <f t="shared" si="27"/>
        <v>0</v>
      </c>
      <c r="AG10" s="5" t="b">
        <f t="shared" si="28"/>
        <v>0</v>
      </c>
      <c r="AH10" s="8">
        <f t="shared" si="29"/>
        <v>0</v>
      </c>
      <c r="AI10" s="8">
        <f t="shared" si="30"/>
        <v>0</v>
      </c>
      <c r="AJ10" s="24">
        <f t="shared" si="31"/>
        <v>109.78</v>
      </c>
      <c r="AK10" s="8">
        <f t="shared" si="32"/>
        <v>0</v>
      </c>
      <c r="AL10" s="8">
        <f t="shared" si="33"/>
        <v>109.78</v>
      </c>
      <c r="AM10" s="183" t="b">
        <f t="shared" si="34"/>
        <v>1</v>
      </c>
      <c r="AN10" s="8">
        <f t="shared" si="35"/>
        <v>109.78</v>
      </c>
      <c r="AO10" s="54">
        <f t="shared" si="36"/>
        <v>4701.3900000000003</v>
      </c>
      <c r="AP10" s="8">
        <f t="shared" si="37"/>
        <v>109.78</v>
      </c>
      <c r="AQ10" s="8">
        <f t="shared" si="46"/>
        <v>0</v>
      </c>
      <c r="AR10" s="106">
        <f t="shared" si="38"/>
        <v>0</v>
      </c>
      <c r="AS10" s="106">
        <f t="shared" si="39"/>
        <v>0</v>
      </c>
      <c r="AT10" s="106">
        <f t="shared" si="40"/>
        <v>0</v>
      </c>
      <c r="AU10" s="106">
        <f t="shared" si="41"/>
        <v>0</v>
      </c>
      <c r="AV10" s="106">
        <f t="shared" si="42"/>
        <v>109.78</v>
      </c>
      <c r="AW10" t="b">
        <f t="shared" si="43"/>
        <v>1</v>
      </c>
      <c r="AX10" t="b">
        <f t="shared" si="44"/>
        <v>1</v>
      </c>
    </row>
    <row r="11" spans="1:50" x14ac:dyDescent="0.25">
      <c r="A11" s="1">
        <f t="shared" si="45"/>
        <v>9</v>
      </c>
      <c r="B11" s="10">
        <v>41806</v>
      </c>
      <c r="C11" s="5">
        <v>6</v>
      </c>
      <c r="D11" s="13">
        <v>12</v>
      </c>
      <c r="E11" s="57" t="str">
        <f t="shared" si="0"/>
        <v>Application of short leg cast (below knee to toes);</v>
      </c>
      <c r="F11" t="str">
        <f t="shared" si="1"/>
        <v>Professional Services: Specialist</v>
      </c>
      <c r="G11" t="str">
        <f t="shared" si="2"/>
        <v>Plan Deductible Only</v>
      </c>
      <c r="H11" s="109">
        <f t="shared" si="3"/>
        <v>110.59</v>
      </c>
      <c r="I11" s="109">
        <f t="shared" si="4"/>
        <v>0</v>
      </c>
      <c r="J11" s="109">
        <f t="shared" si="5"/>
        <v>110.59</v>
      </c>
      <c r="K11" s="5" t="str">
        <f t="shared" si="6"/>
        <v>None</v>
      </c>
      <c r="L11">
        <f t="shared" si="7"/>
        <v>0</v>
      </c>
      <c r="M11" s="3">
        <f t="shared" si="8"/>
        <v>0</v>
      </c>
      <c r="N11" s="5" t="str">
        <f t="shared" si="9"/>
        <v>None</v>
      </c>
      <c r="O11">
        <f t="shared" si="10"/>
        <v>0</v>
      </c>
      <c r="P11" s="3">
        <f t="shared" si="11"/>
        <v>0</v>
      </c>
      <c r="Q11" s="8">
        <f t="shared" si="12"/>
        <v>0</v>
      </c>
      <c r="R11" s="16">
        <f t="shared" si="13"/>
        <v>0</v>
      </c>
      <c r="S11" s="8">
        <f t="shared" si="14"/>
        <v>0</v>
      </c>
      <c r="T11" s="8">
        <f t="shared" si="15"/>
        <v>110.59</v>
      </c>
      <c r="U11" s="5" t="b">
        <f t="shared" si="16"/>
        <v>1</v>
      </c>
      <c r="V11" s="8">
        <f t="shared" si="17"/>
        <v>691.61</v>
      </c>
      <c r="W11" s="8">
        <f t="shared" si="18"/>
        <v>110.59</v>
      </c>
      <c r="X11" s="5" t="b">
        <f t="shared" si="19"/>
        <v>0</v>
      </c>
      <c r="Y11" s="8">
        <f t="shared" si="20"/>
        <v>0</v>
      </c>
      <c r="Z11" s="8">
        <f t="shared" si="21"/>
        <v>0</v>
      </c>
      <c r="AA11" s="5" t="b">
        <f t="shared" si="22"/>
        <v>0</v>
      </c>
      <c r="AB11" s="8">
        <f t="shared" si="23"/>
        <v>0</v>
      </c>
      <c r="AC11" s="8">
        <f t="shared" si="24"/>
        <v>0</v>
      </c>
      <c r="AD11" s="5" t="b">
        <f t="shared" si="25"/>
        <v>0</v>
      </c>
      <c r="AE11" s="8">
        <f t="shared" si="26"/>
        <v>0</v>
      </c>
      <c r="AF11" s="8">
        <f t="shared" si="27"/>
        <v>0</v>
      </c>
      <c r="AG11" s="5" t="b">
        <f t="shared" si="28"/>
        <v>0</v>
      </c>
      <c r="AH11" s="8">
        <f t="shared" si="29"/>
        <v>0</v>
      </c>
      <c r="AI11" s="8">
        <f t="shared" si="30"/>
        <v>0</v>
      </c>
      <c r="AJ11" s="24">
        <f t="shared" si="31"/>
        <v>110.59</v>
      </c>
      <c r="AK11" s="8">
        <f t="shared" si="32"/>
        <v>0</v>
      </c>
      <c r="AL11" s="8">
        <f t="shared" si="33"/>
        <v>110.59</v>
      </c>
      <c r="AM11" s="183" t="b">
        <f t="shared" si="34"/>
        <v>1</v>
      </c>
      <c r="AN11" s="8">
        <f t="shared" si="35"/>
        <v>110.59</v>
      </c>
      <c r="AO11" s="54">
        <f t="shared" si="36"/>
        <v>4591.6099999999997</v>
      </c>
      <c r="AP11" s="8">
        <f t="shared" si="37"/>
        <v>110.59</v>
      </c>
      <c r="AQ11" s="8">
        <f t="shared" si="46"/>
        <v>0</v>
      </c>
      <c r="AR11" s="106">
        <f t="shared" si="38"/>
        <v>0</v>
      </c>
      <c r="AS11" s="106">
        <f t="shared" si="39"/>
        <v>0</v>
      </c>
      <c r="AT11" s="106">
        <f t="shared" si="40"/>
        <v>0</v>
      </c>
      <c r="AU11" s="106">
        <f t="shared" si="41"/>
        <v>0</v>
      </c>
      <c r="AV11" s="106">
        <f t="shared" si="42"/>
        <v>110.59</v>
      </c>
      <c r="AW11" t="b">
        <f t="shared" si="43"/>
        <v>1</v>
      </c>
      <c r="AX11" t="b">
        <f t="shared" si="44"/>
        <v>1</v>
      </c>
    </row>
    <row r="12" spans="1:50" x14ac:dyDescent="0.25">
      <c r="A12" s="1">
        <f t="shared" si="45"/>
        <v>10</v>
      </c>
      <c r="B12" s="10">
        <v>41806</v>
      </c>
      <c r="C12" s="5">
        <v>6</v>
      </c>
      <c r="D12" s="13">
        <v>13</v>
      </c>
      <c r="E12" s="57" t="str">
        <f t="shared" si="0"/>
        <v>Cast supplies, short leg cast, adult (11 years +), fiberglass</v>
      </c>
      <c r="F12" t="str">
        <f t="shared" si="1"/>
        <v>Other Facility Services</v>
      </c>
      <c r="G12" t="str">
        <f t="shared" si="2"/>
        <v>Plan Deductible Only</v>
      </c>
      <c r="H12" s="109">
        <f t="shared" si="3"/>
        <v>37.14</v>
      </c>
      <c r="I12" s="109">
        <f t="shared" si="4"/>
        <v>0</v>
      </c>
      <c r="J12" s="109">
        <f t="shared" si="5"/>
        <v>37.14</v>
      </c>
      <c r="K12" s="5" t="str">
        <f t="shared" si="6"/>
        <v>None</v>
      </c>
      <c r="L12">
        <f t="shared" si="7"/>
        <v>0</v>
      </c>
      <c r="M12" s="3">
        <f t="shared" si="8"/>
        <v>0</v>
      </c>
      <c r="N12" s="5" t="str">
        <f t="shared" si="9"/>
        <v>None</v>
      </c>
      <c r="O12">
        <f t="shared" si="10"/>
        <v>0</v>
      </c>
      <c r="P12" s="3">
        <f t="shared" si="11"/>
        <v>0</v>
      </c>
      <c r="Q12" s="8">
        <f t="shared" si="12"/>
        <v>0</v>
      </c>
      <c r="R12" s="16">
        <f t="shared" si="13"/>
        <v>0</v>
      </c>
      <c r="S12" s="8">
        <f t="shared" si="14"/>
        <v>0</v>
      </c>
      <c r="T12" s="8">
        <f t="shared" si="15"/>
        <v>37.14</v>
      </c>
      <c r="U12" s="5" t="b">
        <f t="shared" si="16"/>
        <v>1</v>
      </c>
      <c r="V12" s="8">
        <f t="shared" si="17"/>
        <v>581.02</v>
      </c>
      <c r="W12" s="8">
        <f t="shared" si="18"/>
        <v>37.14</v>
      </c>
      <c r="X12" s="5" t="b">
        <f t="shared" si="19"/>
        <v>0</v>
      </c>
      <c r="Y12" s="8">
        <f t="shared" si="20"/>
        <v>0</v>
      </c>
      <c r="Z12" s="8">
        <f t="shared" si="21"/>
        <v>0</v>
      </c>
      <c r="AA12" s="5" t="b">
        <f t="shared" si="22"/>
        <v>0</v>
      </c>
      <c r="AB12" s="8">
        <f t="shared" si="23"/>
        <v>0</v>
      </c>
      <c r="AC12" s="8">
        <f t="shared" si="24"/>
        <v>0</v>
      </c>
      <c r="AD12" s="5" t="b">
        <f t="shared" si="25"/>
        <v>0</v>
      </c>
      <c r="AE12" s="8">
        <f t="shared" si="26"/>
        <v>0</v>
      </c>
      <c r="AF12" s="8">
        <f t="shared" si="27"/>
        <v>0</v>
      </c>
      <c r="AG12" s="5" t="b">
        <f t="shared" si="28"/>
        <v>0</v>
      </c>
      <c r="AH12" s="8">
        <f t="shared" si="29"/>
        <v>0</v>
      </c>
      <c r="AI12" s="8">
        <f t="shared" si="30"/>
        <v>0</v>
      </c>
      <c r="AJ12" s="24">
        <f t="shared" si="31"/>
        <v>37.14</v>
      </c>
      <c r="AK12" s="8">
        <f t="shared" si="32"/>
        <v>0</v>
      </c>
      <c r="AL12" s="8">
        <f t="shared" si="33"/>
        <v>37.14</v>
      </c>
      <c r="AM12" s="183" t="b">
        <f t="shared" si="34"/>
        <v>1</v>
      </c>
      <c r="AN12" s="8">
        <f t="shared" si="35"/>
        <v>37.14</v>
      </c>
      <c r="AO12" s="54">
        <f t="shared" si="36"/>
        <v>4481.0200000000004</v>
      </c>
      <c r="AP12" s="8">
        <f t="shared" si="37"/>
        <v>37.14</v>
      </c>
      <c r="AQ12" s="8">
        <f t="shared" si="46"/>
        <v>0</v>
      </c>
      <c r="AR12" s="106">
        <f t="shared" si="38"/>
        <v>0</v>
      </c>
      <c r="AS12" s="106">
        <f t="shared" si="39"/>
        <v>0</v>
      </c>
      <c r="AT12" s="106">
        <f t="shared" si="40"/>
        <v>0</v>
      </c>
      <c r="AU12" s="106">
        <f t="shared" si="41"/>
        <v>0</v>
      </c>
      <c r="AV12" s="106">
        <f t="shared" si="42"/>
        <v>37.14</v>
      </c>
      <c r="AW12" t="b">
        <f t="shared" si="43"/>
        <v>1</v>
      </c>
      <c r="AX12" t="b">
        <f t="shared" si="44"/>
        <v>1</v>
      </c>
    </row>
    <row r="13" spans="1:50" x14ac:dyDescent="0.25">
      <c r="A13" s="1">
        <f t="shared" si="45"/>
        <v>11</v>
      </c>
      <c r="B13" s="10">
        <v>41848</v>
      </c>
      <c r="C13" s="5">
        <v>7</v>
      </c>
      <c r="D13" s="13">
        <v>14</v>
      </c>
      <c r="E13" s="57" t="str">
        <f t="shared" si="0"/>
        <v>Radiologic examination, foot; 2 views</v>
      </c>
      <c r="F13" t="str">
        <f t="shared" si="1"/>
        <v>Diagnostic Services: Radiology</v>
      </c>
      <c r="G13" t="str">
        <f t="shared" si="2"/>
        <v>Plan Deductible Only</v>
      </c>
      <c r="H13" s="109">
        <f t="shared" si="3"/>
        <v>30.2</v>
      </c>
      <c r="I13" s="109">
        <f t="shared" si="4"/>
        <v>0</v>
      </c>
      <c r="J13" s="109">
        <f t="shared" si="5"/>
        <v>30.2</v>
      </c>
      <c r="K13" s="5" t="str">
        <f t="shared" si="6"/>
        <v>None</v>
      </c>
      <c r="L13">
        <f t="shared" si="7"/>
        <v>0</v>
      </c>
      <c r="M13" s="3">
        <f t="shared" si="8"/>
        <v>0</v>
      </c>
      <c r="N13" s="5" t="str">
        <f t="shared" si="9"/>
        <v>None</v>
      </c>
      <c r="O13">
        <f t="shared" si="10"/>
        <v>0</v>
      </c>
      <c r="P13" s="3">
        <f t="shared" si="11"/>
        <v>0</v>
      </c>
      <c r="Q13" s="8">
        <f t="shared" si="12"/>
        <v>0</v>
      </c>
      <c r="R13" s="16">
        <f t="shared" si="13"/>
        <v>0</v>
      </c>
      <c r="S13" s="8">
        <f t="shared" si="14"/>
        <v>0</v>
      </c>
      <c r="T13" s="8">
        <f t="shared" si="15"/>
        <v>30.2</v>
      </c>
      <c r="U13" s="5" t="b">
        <f t="shared" si="16"/>
        <v>1</v>
      </c>
      <c r="V13" s="8">
        <f t="shared" si="17"/>
        <v>543.88</v>
      </c>
      <c r="W13" s="8">
        <f t="shared" si="18"/>
        <v>30.2</v>
      </c>
      <c r="X13" s="5" t="b">
        <f t="shared" si="19"/>
        <v>0</v>
      </c>
      <c r="Y13" s="8">
        <f t="shared" si="20"/>
        <v>0</v>
      </c>
      <c r="Z13" s="8">
        <f t="shared" si="21"/>
        <v>0</v>
      </c>
      <c r="AA13" s="5" t="b">
        <f t="shared" si="22"/>
        <v>0</v>
      </c>
      <c r="AB13" s="8">
        <f t="shared" si="23"/>
        <v>0</v>
      </c>
      <c r="AC13" s="8">
        <f t="shared" si="24"/>
        <v>0</v>
      </c>
      <c r="AD13" s="5" t="b">
        <f t="shared" si="25"/>
        <v>0</v>
      </c>
      <c r="AE13" s="8">
        <f t="shared" si="26"/>
        <v>0</v>
      </c>
      <c r="AF13" s="8">
        <f t="shared" si="27"/>
        <v>0</v>
      </c>
      <c r="AG13" s="5" t="b">
        <f t="shared" si="28"/>
        <v>0</v>
      </c>
      <c r="AH13" s="8">
        <f t="shared" si="29"/>
        <v>0</v>
      </c>
      <c r="AI13" s="8">
        <f t="shared" si="30"/>
        <v>0</v>
      </c>
      <c r="AJ13" s="24">
        <f t="shared" si="31"/>
        <v>30.2</v>
      </c>
      <c r="AK13" s="8">
        <f t="shared" si="32"/>
        <v>0</v>
      </c>
      <c r="AL13" s="8">
        <f t="shared" si="33"/>
        <v>30.2</v>
      </c>
      <c r="AM13" s="183" t="b">
        <f t="shared" si="34"/>
        <v>1</v>
      </c>
      <c r="AN13" s="8">
        <f t="shared" si="35"/>
        <v>30.2</v>
      </c>
      <c r="AO13" s="54">
        <f t="shared" si="36"/>
        <v>4443.88</v>
      </c>
      <c r="AP13" s="8">
        <f t="shared" si="37"/>
        <v>30.2</v>
      </c>
      <c r="AQ13" s="8">
        <f t="shared" si="46"/>
        <v>0</v>
      </c>
      <c r="AR13" s="106">
        <f t="shared" si="38"/>
        <v>0</v>
      </c>
      <c r="AS13" s="106">
        <f t="shared" si="39"/>
        <v>0</v>
      </c>
      <c r="AT13" s="106">
        <f t="shared" si="40"/>
        <v>0</v>
      </c>
      <c r="AU13" s="106">
        <f t="shared" si="41"/>
        <v>0</v>
      </c>
      <c r="AV13" s="106">
        <f t="shared" si="42"/>
        <v>30.2</v>
      </c>
      <c r="AW13" t="b">
        <f t="shared" si="43"/>
        <v>1</v>
      </c>
      <c r="AX13" t="b">
        <f t="shared" si="44"/>
        <v>1</v>
      </c>
    </row>
    <row r="14" spans="1:50" x14ac:dyDescent="0.25">
      <c r="A14" s="1">
        <f t="shared" si="45"/>
        <v>12</v>
      </c>
      <c r="B14" s="10">
        <v>41848</v>
      </c>
      <c r="C14" s="5">
        <v>7</v>
      </c>
      <c r="D14" s="13">
        <v>15</v>
      </c>
      <c r="E14" s="57" t="str">
        <f t="shared" si="0"/>
        <v>Office or other outpatient visit for the evaluation and management of an established patient, which requires at least 2 of 3 key components. Physicians typically spend 15 minutes face-to-face with the</v>
      </c>
      <c r="F14" t="str">
        <f t="shared" si="1"/>
        <v>Professional Services: Specialist</v>
      </c>
      <c r="G14" t="str">
        <f t="shared" si="2"/>
        <v>Plan Deductible Only</v>
      </c>
      <c r="H14" s="109">
        <f t="shared" si="3"/>
        <v>73</v>
      </c>
      <c r="I14" s="109">
        <f t="shared" si="4"/>
        <v>0</v>
      </c>
      <c r="J14" s="109">
        <f t="shared" si="5"/>
        <v>73</v>
      </c>
      <c r="K14" s="5" t="str">
        <f t="shared" si="6"/>
        <v>None</v>
      </c>
      <c r="L14">
        <f t="shared" si="7"/>
        <v>0</v>
      </c>
      <c r="M14" s="3">
        <f t="shared" si="8"/>
        <v>0</v>
      </c>
      <c r="N14" s="5" t="str">
        <f t="shared" si="9"/>
        <v>None</v>
      </c>
      <c r="O14">
        <f t="shared" si="10"/>
        <v>0</v>
      </c>
      <c r="P14" s="3">
        <f t="shared" si="11"/>
        <v>0</v>
      </c>
      <c r="Q14" s="8">
        <f t="shared" si="12"/>
        <v>0</v>
      </c>
      <c r="R14" s="16">
        <f t="shared" si="13"/>
        <v>0</v>
      </c>
      <c r="S14" s="8">
        <f t="shared" si="14"/>
        <v>0</v>
      </c>
      <c r="T14" s="8">
        <f t="shared" si="15"/>
        <v>73</v>
      </c>
      <c r="U14" s="5" t="b">
        <f t="shared" si="16"/>
        <v>1</v>
      </c>
      <c r="V14" s="8">
        <f t="shared" si="17"/>
        <v>513.68000000000006</v>
      </c>
      <c r="W14" s="8">
        <f t="shared" si="18"/>
        <v>73</v>
      </c>
      <c r="X14" s="5" t="b">
        <f t="shared" si="19"/>
        <v>0</v>
      </c>
      <c r="Y14" s="8">
        <f t="shared" si="20"/>
        <v>0</v>
      </c>
      <c r="Z14" s="8">
        <f t="shared" si="21"/>
        <v>0</v>
      </c>
      <c r="AA14" s="5" t="b">
        <f t="shared" si="22"/>
        <v>0</v>
      </c>
      <c r="AB14" s="8">
        <f t="shared" si="23"/>
        <v>0</v>
      </c>
      <c r="AC14" s="8">
        <f t="shared" si="24"/>
        <v>0</v>
      </c>
      <c r="AD14" s="5" t="b">
        <f t="shared" si="25"/>
        <v>0</v>
      </c>
      <c r="AE14" s="8">
        <f t="shared" si="26"/>
        <v>0</v>
      </c>
      <c r="AF14" s="8">
        <f t="shared" si="27"/>
        <v>0</v>
      </c>
      <c r="AG14" s="5" t="b">
        <f t="shared" si="28"/>
        <v>0</v>
      </c>
      <c r="AH14" s="8">
        <f t="shared" si="29"/>
        <v>0</v>
      </c>
      <c r="AI14" s="8">
        <f t="shared" si="30"/>
        <v>0</v>
      </c>
      <c r="AJ14" s="24">
        <f t="shared" si="31"/>
        <v>73</v>
      </c>
      <c r="AK14" s="8">
        <f t="shared" si="32"/>
        <v>0</v>
      </c>
      <c r="AL14" s="8">
        <f t="shared" si="33"/>
        <v>73</v>
      </c>
      <c r="AM14" s="183" t="b">
        <f t="shared" si="34"/>
        <v>1</v>
      </c>
      <c r="AN14" s="8">
        <f t="shared" si="35"/>
        <v>73</v>
      </c>
      <c r="AO14" s="54">
        <f t="shared" si="36"/>
        <v>4413.68</v>
      </c>
      <c r="AP14" s="8">
        <f t="shared" si="37"/>
        <v>73</v>
      </c>
      <c r="AQ14" s="8">
        <f t="shared" si="46"/>
        <v>0</v>
      </c>
      <c r="AR14" s="106">
        <f t="shared" si="38"/>
        <v>0</v>
      </c>
      <c r="AS14" s="106">
        <f t="shared" si="39"/>
        <v>0</v>
      </c>
      <c r="AT14" s="106">
        <f t="shared" si="40"/>
        <v>0</v>
      </c>
      <c r="AU14" s="106">
        <f t="shared" si="41"/>
        <v>0</v>
      </c>
      <c r="AV14" s="106">
        <f t="shared" si="42"/>
        <v>73</v>
      </c>
      <c r="AW14" t="b">
        <f t="shared" si="43"/>
        <v>1</v>
      </c>
      <c r="AX14" t="b">
        <f t="shared" si="44"/>
        <v>1</v>
      </c>
    </row>
    <row r="15" spans="1:50" x14ac:dyDescent="0.25">
      <c r="A15" s="1">
        <f t="shared" si="45"/>
        <v>13</v>
      </c>
      <c r="B15" s="10">
        <v>41855</v>
      </c>
      <c r="C15" s="5">
        <v>8</v>
      </c>
      <c r="D15" s="13">
        <v>16</v>
      </c>
      <c r="E15" s="57" t="str">
        <f t="shared" si="0"/>
        <v>Physical therapy evaluation</v>
      </c>
      <c r="F15" t="str">
        <f t="shared" si="1"/>
        <v>Professional Services: Physical Therapy</v>
      </c>
      <c r="G15" t="str">
        <f t="shared" si="2"/>
        <v>Plan Deductible Only</v>
      </c>
      <c r="H15" s="109">
        <f t="shared" si="3"/>
        <v>75</v>
      </c>
      <c r="I15" s="109">
        <f t="shared" si="4"/>
        <v>0</v>
      </c>
      <c r="J15" s="109">
        <f t="shared" si="5"/>
        <v>75</v>
      </c>
      <c r="K15" s="5" t="str">
        <f t="shared" si="6"/>
        <v>None</v>
      </c>
      <c r="L15">
        <f t="shared" si="7"/>
        <v>0</v>
      </c>
      <c r="M15" s="3">
        <f t="shared" si="8"/>
        <v>0</v>
      </c>
      <c r="N15" s="5" t="str">
        <f t="shared" si="9"/>
        <v>None</v>
      </c>
      <c r="O15">
        <f t="shared" si="10"/>
        <v>0</v>
      </c>
      <c r="P15" s="3">
        <f t="shared" si="11"/>
        <v>0</v>
      </c>
      <c r="Q15" s="8">
        <f t="shared" si="12"/>
        <v>0</v>
      </c>
      <c r="R15" s="16">
        <f t="shared" si="13"/>
        <v>0</v>
      </c>
      <c r="S15" s="8">
        <f t="shared" si="14"/>
        <v>0</v>
      </c>
      <c r="T15" s="8">
        <f t="shared" si="15"/>
        <v>75</v>
      </c>
      <c r="U15" s="5" t="b">
        <f t="shared" si="16"/>
        <v>1</v>
      </c>
      <c r="V15" s="8">
        <f t="shared" si="17"/>
        <v>440.68000000000006</v>
      </c>
      <c r="W15" s="8">
        <f t="shared" si="18"/>
        <v>75</v>
      </c>
      <c r="X15" s="5" t="b">
        <f t="shared" si="19"/>
        <v>0</v>
      </c>
      <c r="Y15" s="8">
        <f t="shared" si="20"/>
        <v>0</v>
      </c>
      <c r="Z15" s="8">
        <f t="shared" si="21"/>
        <v>0</v>
      </c>
      <c r="AA15" s="5" t="b">
        <f t="shared" si="22"/>
        <v>0</v>
      </c>
      <c r="AB15" s="8">
        <f t="shared" si="23"/>
        <v>0</v>
      </c>
      <c r="AC15" s="8">
        <f t="shared" si="24"/>
        <v>0</v>
      </c>
      <c r="AD15" s="5" t="b">
        <f t="shared" si="25"/>
        <v>0</v>
      </c>
      <c r="AE15" s="8">
        <f t="shared" si="26"/>
        <v>0</v>
      </c>
      <c r="AF15" s="8">
        <f t="shared" si="27"/>
        <v>0</v>
      </c>
      <c r="AG15" s="5" t="b">
        <f t="shared" si="28"/>
        <v>0</v>
      </c>
      <c r="AH15" s="8">
        <f t="shared" si="29"/>
        <v>0</v>
      </c>
      <c r="AI15" s="8">
        <f t="shared" si="30"/>
        <v>0</v>
      </c>
      <c r="AJ15" s="24">
        <f t="shared" si="31"/>
        <v>75</v>
      </c>
      <c r="AK15" s="8">
        <f t="shared" si="32"/>
        <v>0</v>
      </c>
      <c r="AL15" s="8">
        <f t="shared" si="33"/>
        <v>75</v>
      </c>
      <c r="AM15" s="183" t="b">
        <f t="shared" si="34"/>
        <v>1</v>
      </c>
      <c r="AN15" s="8">
        <f t="shared" si="35"/>
        <v>75</v>
      </c>
      <c r="AO15" s="54">
        <f t="shared" si="36"/>
        <v>4340.68</v>
      </c>
      <c r="AP15" s="8">
        <f t="shared" si="37"/>
        <v>75</v>
      </c>
      <c r="AQ15" s="8">
        <f t="shared" si="46"/>
        <v>0</v>
      </c>
      <c r="AR15" s="106">
        <f t="shared" si="38"/>
        <v>0</v>
      </c>
      <c r="AS15" s="106">
        <f t="shared" si="39"/>
        <v>0</v>
      </c>
      <c r="AT15" s="106">
        <f t="shared" si="40"/>
        <v>0</v>
      </c>
      <c r="AU15" s="106">
        <f t="shared" si="41"/>
        <v>0</v>
      </c>
      <c r="AV15" s="106">
        <f t="shared" si="42"/>
        <v>75</v>
      </c>
      <c r="AW15" t="b">
        <f t="shared" si="43"/>
        <v>1</v>
      </c>
      <c r="AX15" t="b">
        <f t="shared" si="44"/>
        <v>1</v>
      </c>
    </row>
    <row r="16" spans="1:50" x14ac:dyDescent="0.25">
      <c r="A16" s="1">
        <f t="shared" si="45"/>
        <v>14</v>
      </c>
      <c r="B16" s="10">
        <v>41855</v>
      </c>
      <c r="C16" s="5">
        <v>8</v>
      </c>
      <c r="D16" s="13">
        <v>17</v>
      </c>
      <c r="E16" s="57" t="str">
        <f t="shared" si="0"/>
        <v>Therapeutic procedure, 1 or more areas, each 15 minutes; therapeutic exercises to develop strength and endurance, range of motion and flexibility</v>
      </c>
      <c r="F16" t="str">
        <f t="shared" si="1"/>
        <v>Professional Services: Physical Therapy</v>
      </c>
      <c r="G16" t="str">
        <f t="shared" si="2"/>
        <v>Plan Deductible Only</v>
      </c>
      <c r="H16" s="109">
        <f t="shared" si="3"/>
        <v>46.92</v>
      </c>
      <c r="I16" s="109">
        <f t="shared" si="4"/>
        <v>0</v>
      </c>
      <c r="J16" s="109">
        <f t="shared" si="5"/>
        <v>46.92</v>
      </c>
      <c r="K16" s="5" t="str">
        <f t="shared" si="6"/>
        <v>None</v>
      </c>
      <c r="L16">
        <f t="shared" si="7"/>
        <v>0</v>
      </c>
      <c r="M16" s="3">
        <f t="shared" si="8"/>
        <v>0</v>
      </c>
      <c r="N16" s="5" t="str">
        <f t="shared" si="9"/>
        <v>None</v>
      </c>
      <c r="O16">
        <f t="shared" si="10"/>
        <v>0</v>
      </c>
      <c r="P16" s="3">
        <f t="shared" si="11"/>
        <v>0</v>
      </c>
      <c r="Q16" s="8">
        <f t="shared" si="12"/>
        <v>0</v>
      </c>
      <c r="R16" s="16">
        <f t="shared" si="13"/>
        <v>0</v>
      </c>
      <c r="S16" s="8">
        <f t="shared" si="14"/>
        <v>0</v>
      </c>
      <c r="T16" s="8">
        <f t="shared" si="15"/>
        <v>46.92</v>
      </c>
      <c r="U16" s="5" t="b">
        <f t="shared" si="16"/>
        <v>1</v>
      </c>
      <c r="V16" s="8">
        <f t="shared" si="17"/>
        <v>365.68000000000006</v>
      </c>
      <c r="W16" s="8">
        <f t="shared" si="18"/>
        <v>46.92</v>
      </c>
      <c r="X16" s="5" t="b">
        <f t="shared" si="19"/>
        <v>0</v>
      </c>
      <c r="Y16" s="8">
        <f t="shared" si="20"/>
        <v>0</v>
      </c>
      <c r="Z16" s="8">
        <f t="shared" si="21"/>
        <v>0</v>
      </c>
      <c r="AA16" s="5" t="b">
        <f t="shared" si="22"/>
        <v>0</v>
      </c>
      <c r="AB16" s="8">
        <f t="shared" si="23"/>
        <v>0</v>
      </c>
      <c r="AC16" s="8">
        <f t="shared" si="24"/>
        <v>0</v>
      </c>
      <c r="AD16" s="5" t="b">
        <f t="shared" si="25"/>
        <v>0</v>
      </c>
      <c r="AE16" s="8">
        <f t="shared" si="26"/>
        <v>0</v>
      </c>
      <c r="AF16" s="8">
        <f t="shared" si="27"/>
        <v>0</v>
      </c>
      <c r="AG16" s="5" t="b">
        <f t="shared" si="28"/>
        <v>0</v>
      </c>
      <c r="AH16" s="8">
        <f t="shared" si="29"/>
        <v>0</v>
      </c>
      <c r="AI16" s="8">
        <f t="shared" si="30"/>
        <v>0</v>
      </c>
      <c r="AJ16" s="24">
        <f t="shared" si="31"/>
        <v>46.92</v>
      </c>
      <c r="AK16" s="8">
        <f t="shared" si="32"/>
        <v>0</v>
      </c>
      <c r="AL16" s="8">
        <f t="shared" si="33"/>
        <v>46.92</v>
      </c>
      <c r="AM16" s="183" t="b">
        <f t="shared" si="34"/>
        <v>1</v>
      </c>
      <c r="AN16" s="8">
        <f t="shared" si="35"/>
        <v>46.92</v>
      </c>
      <c r="AO16" s="54">
        <f t="shared" si="36"/>
        <v>4265.68</v>
      </c>
      <c r="AP16" s="8">
        <f t="shared" si="37"/>
        <v>46.92</v>
      </c>
      <c r="AQ16" s="8">
        <f t="shared" si="46"/>
        <v>0</v>
      </c>
      <c r="AR16" s="106">
        <f t="shared" si="38"/>
        <v>0</v>
      </c>
      <c r="AS16" s="106">
        <f t="shared" si="39"/>
        <v>0</v>
      </c>
      <c r="AT16" s="106">
        <f t="shared" si="40"/>
        <v>0</v>
      </c>
      <c r="AU16" s="106">
        <f t="shared" si="41"/>
        <v>0</v>
      </c>
      <c r="AV16" s="106">
        <f t="shared" si="42"/>
        <v>46.92</v>
      </c>
      <c r="AW16" t="b">
        <f t="shared" si="43"/>
        <v>1</v>
      </c>
      <c r="AX16" t="b">
        <f t="shared" si="44"/>
        <v>1</v>
      </c>
    </row>
    <row r="17" spans="1:50" x14ac:dyDescent="0.25">
      <c r="A17" s="1">
        <f t="shared" si="45"/>
        <v>15</v>
      </c>
      <c r="B17" s="10">
        <v>41862</v>
      </c>
      <c r="C17" s="5">
        <v>8</v>
      </c>
      <c r="D17" s="13">
        <v>17</v>
      </c>
      <c r="E17" s="57" t="str">
        <f t="shared" si="0"/>
        <v>Therapeutic procedure, 1 or more areas, each 15 minutes; therapeutic exercises to develop strength and endurance, range of motion and flexibility</v>
      </c>
      <c r="F17" t="str">
        <f t="shared" si="1"/>
        <v>Professional Services: Physical Therapy</v>
      </c>
      <c r="G17" t="str">
        <f t="shared" si="2"/>
        <v>Plan Deductible Only</v>
      </c>
      <c r="H17" s="109">
        <f t="shared" si="3"/>
        <v>46.92</v>
      </c>
      <c r="I17" s="109">
        <f t="shared" si="4"/>
        <v>0</v>
      </c>
      <c r="J17" s="109">
        <f t="shared" si="5"/>
        <v>46.92</v>
      </c>
      <c r="K17" s="5" t="str">
        <f t="shared" si="6"/>
        <v>None</v>
      </c>
      <c r="L17">
        <f t="shared" si="7"/>
        <v>1</v>
      </c>
      <c r="M17" s="3">
        <f t="shared" si="8"/>
        <v>0</v>
      </c>
      <c r="N17" s="5" t="str">
        <f t="shared" si="9"/>
        <v>None</v>
      </c>
      <c r="O17">
        <f t="shared" si="10"/>
        <v>1</v>
      </c>
      <c r="P17" s="3">
        <f t="shared" si="11"/>
        <v>0</v>
      </c>
      <c r="Q17" s="8">
        <f t="shared" si="12"/>
        <v>0</v>
      </c>
      <c r="R17" s="16">
        <f t="shared" si="13"/>
        <v>0</v>
      </c>
      <c r="S17" s="8">
        <f t="shared" si="14"/>
        <v>0</v>
      </c>
      <c r="T17" s="8">
        <f t="shared" si="15"/>
        <v>46.92</v>
      </c>
      <c r="U17" s="5" t="b">
        <f t="shared" si="16"/>
        <v>1</v>
      </c>
      <c r="V17" s="8">
        <f t="shared" si="17"/>
        <v>318.7600000000001</v>
      </c>
      <c r="W17" s="8">
        <f t="shared" si="18"/>
        <v>46.92</v>
      </c>
      <c r="X17" s="5" t="b">
        <f t="shared" si="19"/>
        <v>0</v>
      </c>
      <c r="Y17" s="8">
        <f t="shared" si="20"/>
        <v>0</v>
      </c>
      <c r="Z17" s="8">
        <f t="shared" si="21"/>
        <v>0</v>
      </c>
      <c r="AA17" s="5" t="b">
        <f t="shared" si="22"/>
        <v>0</v>
      </c>
      <c r="AB17" s="8">
        <f t="shared" si="23"/>
        <v>0</v>
      </c>
      <c r="AC17" s="8">
        <f t="shared" si="24"/>
        <v>0</v>
      </c>
      <c r="AD17" s="5" t="b">
        <f t="shared" si="25"/>
        <v>0</v>
      </c>
      <c r="AE17" s="8">
        <f t="shared" si="26"/>
        <v>0</v>
      </c>
      <c r="AF17" s="8">
        <f t="shared" si="27"/>
        <v>0</v>
      </c>
      <c r="AG17" s="5" t="b">
        <f t="shared" si="28"/>
        <v>0</v>
      </c>
      <c r="AH17" s="8">
        <f t="shared" si="29"/>
        <v>0</v>
      </c>
      <c r="AI17" s="8">
        <f t="shared" si="30"/>
        <v>0</v>
      </c>
      <c r="AJ17" s="24">
        <f t="shared" si="31"/>
        <v>46.92</v>
      </c>
      <c r="AK17" s="8">
        <f t="shared" si="32"/>
        <v>0</v>
      </c>
      <c r="AL17" s="8">
        <f t="shared" si="33"/>
        <v>46.92</v>
      </c>
      <c r="AM17" s="183" t="b">
        <f t="shared" si="34"/>
        <v>1</v>
      </c>
      <c r="AN17" s="8">
        <f t="shared" si="35"/>
        <v>46.92</v>
      </c>
      <c r="AO17" s="54">
        <f t="shared" si="36"/>
        <v>4218.76</v>
      </c>
      <c r="AP17" s="8">
        <f t="shared" si="37"/>
        <v>46.92</v>
      </c>
      <c r="AQ17" s="8">
        <f t="shared" si="46"/>
        <v>0</v>
      </c>
      <c r="AR17" s="106">
        <f t="shared" si="38"/>
        <v>0</v>
      </c>
      <c r="AS17" s="106">
        <f t="shared" si="39"/>
        <v>0</v>
      </c>
      <c r="AT17" s="106">
        <f t="shared" si="40"/>
        <v>0</v>
      </c>
      <c r="AU17" s="106">
        <f t="shared" si="41"/>
        <v>0</v>
      </c>
      <c r="AV17" s="106">
        <f t="shared" si="42"/>
        <v>46.92</v>
      </c>
      <c r="AW17" t="b">
        <f t="shared" si="43"/>
        <v>1</v>
      </c>
      <c r="AX17" t="b">
        <f t="shared" si="44"/>
        <v>1</v>
      </c>
    </row>
    <row r="18" spans="1:50" x14ac:dyDescent="0.25">
      <c r="A18" s="1">
        <f t="shared" si="45"/>
        <v>16</v>
      </c>
      <c r="B18" s="10">
        <v>41869</v>
      </c>
      <c r="C18" s="5">
        <v>8</v>
      </c>
      <c r="D18" s="13">
        <v>17</v>
      </c>
      <c r="E18" s="57" t="str">
        <f t="shared" si="0"/>
        <v>Therapeutic procedure, 1 or more areas, each 15 minutes; therapeutic exercises to develop strength and endurance, range of motion and flexibility</v>
      </c>
      <c r="F18" t="str">
        <f t="shared" si="1"/>
        <v>Professional Services: Physical Therapy</v>
      </c>
      <c r="G18" t="str">
        <f t="shared" si="2"/>
        <v>Plan Deductible Only</v>
      </c>
      <c r="H18" s="109">
        <f t="shared" si="3"/>
        <v>46.92</v>
      </c>
      <c r="I18" s="109">
        <f t="shared" si="4"/>
        <v>0</v>
      </c>
      <c r="J18" s="109">
        <f t="shared" si="5"/>
        <v>46.92</v>
      </c>
      <c r="K18" s="5" t="str">
        <f t="shared" si="6"/>
        <v>None</v>
      </c>
      <c r="L18">
        <f t="shared" si="7"/>
        <v>2</v>
      </c>
      <c r="M18" s="3">
        <f t="shared" si="8"/>
        <v>0</v>
      </c>
      <c r="N18" s="5" t="str">
        <f t="shared" si="9"/>
        <v>None</v>
      </c>
      <c r="O18">
        <f t="shared" si="10"/>
        <v>2</v>
      </c>
      <c r="P18" s="3">
        <f t="shared" si="11"/>
        <v>0</v>
      </c>
      <c r="Q18" s="8">
        <f t="shared" si="12"/>
        <v>0</v>
      </c>
      <c r="R18" s="16">
        <f t="shared" si="13"/>
        <v>0</v>
      </c>
      <c r="S18" s="8">
        <f t="shared" si="14"/>
        <v>0</v>
      </c>
      <c r="T18" s="8">
        <f t="shared" si="15"/>
        <v>46.92</v>
      </c>
      <c r="U18" s="5" t="b">
        <f t="shared" si="16"/>
        <v>1</v>
      </c>
      <c r="V18" s="8">
        <f t="shared" si="17"/>
        <v>271.84000000000015</v>
      </c>
      <c r="W18" s="8">
        <f t="shared" si="18"/>
        <v>46.92</v>
      </c>
      <c r="X18" s="5" t="b">
        <f t="shared" si="19"/>
        <v>0</v>
      </c>
      <c r="Y18" s="8">
        <f t="shared" si="20"/>
        <v>0</v>
      </c>
      <c r="Z18" s="8">
        <f t="shared" si="21"/>
        <v>0</v>
      </c>
      <c r="AA18" s="5" t="b">
        <f t="shared" si="22"/>
        <v>0</v>
      </c>
      <c r="AB18" s="8">
        <f t="shared" si="23"/>
        <v>0</v>
      </c>
      <c r="AC18" s="8">
        <f t="shared" si="24"/>
        <v>0</v>
      </c>
      <c r="AD18" s="5" t="b">
        <f t="shared" si="25"/>
        <v>0</v>
      </c>
      <c r="AE18" s="8">
        <f t="shared" si="26"/>
        <v>0</v>
      </c>
      <c r="AF18" s="8">
        <f t="shared" si="27"/>
        <v>0</v>
      </c>
      <c r="AG18" s="5" t="b">
        <f t="shared" si="28"/>
        <v>0</v>
      </c>
      <c r="AH18" s="8">
        <f t="shared" si="29"/>
        <v>0</v>
      </c>
      <c r="AI18" s="8">
        <f t="shared" si="30"/>
        <v>0</v>
      </c>
      <c r="AJ18" s="24">
        <f t="shared" si="31"/>
        <v>46.92</v>
      </c>
      <c r="AK18" s="8">
        <f t="shared" si="32"/>
        <v>0</v>
      </c>
      <c r="AL18" s="8">
        <f t="shared" si="33"/>
        <v>46.92</v>
      </c>
      <c r="AM18" s="183" t="b">
        <f t="shared" si="34"/>
        <v>1</v>
      </c>
      <c r="AN18" s="8">
        <f t="shared" si="35"/>
        <v>46.92</v>
      </c>
      <c r="AO18" s="54">
        <f t="shared" si="36"/>
        <v>4171.84</v>
      </c>
      <c r="AP18" s="8">
        <f t="shared" si="37"/>
        <v>46.92</v>
      </c>
      <c r="AQ18" s="8">
        <f t="shared" si="46"/>
        <v>0</v>
      </c>
      <c r="AR18" s="106">
        <f t="shared" si="38"/>
        <v>0</v>
      </c>
      <c r="AS18" s="106">
        <f t="shared" si="39"/>
        <v>0</v>
      </c>
      <c r="AT18" s="106">
        <f t="shared" si="40"/>
        <v>0</v>
      </c>
      <c r="AU18" s="106">
        <f t="shared" si="41"/>
        <v>0</v>
      </c>
      <c r="AV18" s="106">
        <f t="shared" si="42"/>
        <v>46.92</v>
      </c>
      <c r="AW18" t="b">
        <f t="shared" si="43"/>
        <v>1</v>
      </c>
      <c r="AX18" t="b">
        <f t="shared" si="44"/>
        <v>1</v>
      </c>
    </row>
    <row r="19" spans="1:50" x14ac:dyDescent="0.25">
      <c r="C19" s="5"/>
      <c r="E19" s="57"/>
      <c r="H19" s="109"/>
      <c r="I19" s="109"/>
      <c r="J19" s="109"/>
      <c r="M19" s="3"/>
      <c r="P19" s="3"/>
      <c r="AQ19" s="8"/>
    </row>
    <row r="20" spans="1:50" x14ac:dyDescent="0.25">
      <c r="C20" s="5"/>
      <c r="E20" s="57"/>
      <c r="H20" s="109"/>
      <c r="I20" s="109"/>
      <c r="J20" s="109"/>
      <c r="M20" s="3"/>
      <c r="P20" s="3"/>
      <c r="AQ20" s="8"/>
    </row>
    <row r="21" spans="1:50" x14ac:dyDescent="0.25">
      <c r="C21" s="5"/>
      <c r="E21" s="57"/>
      <c r="H21" s="109"/>
      <c r="I21" s="109"/>
      <c r="J21" s="109"/>
      <c r="M21" s="3"/>
      <c r="P21" s="3"/>
      <c r="AQ21" s="8"/>
    </row>
    <row r="22" spans="1:50" x14ac:dyDescent="0.25">
      <c r="C22" s="5"/>
      <c r="E22" s="57"/>
      <c r="H22" s="109"/>
      <c r="I22" s="109"/>
      <c r="J22" s="109"/>
      <c r="M22" s="3"/>
      <c r="P22" s="3"/>
      <c r="AQ22" s="8"/>
    </row>
    <row r="23" spans="1:50" x14ac:dyDescent="0.25">
      <c r="C23" s="5"/>
      <c r="E23" s="57"/>
      <c r="H23" s="109"/>
      <c r="I23" s="109"/>
      <c r="J23" s="109"/>
      <c r="M23" s="3"/>
      <c r="P23" s="3"/>
      <c r="AQ23" s="8"/>
    </row>
    <row r="24" spans="1:50" x14ac:dyDescent="0.25">
      <c r="C24" s="5"/>
      <c r="E24" s="57"/>
      <c r="H24" s="109"/>
      <c r="I24" s="109"/>
      <c r="J24" s="109"/>
      <c r="M24" s="3"/>
      <c r="P24" s="3"/>
      <c r="AQ24" s="8"/>
    </row>
    <row r="25" spans="1:50" x14ac:dyDescent="0.25">
      <c r="C25" s="5"/>
      <c r="E25" s="57"/>
      <c r="H25" s="109"/>
      <c r="I25" s="109"/>
      <c r="J25" s="109"/>
      <c r="M25" s="3"/>
      <c r="P25" s="3"/>
      <c r="AQ25" s="8"/>
    </row>
    <row r="26" spans="1:50" x14ac:dyDescent="0.25">
      <c r="C26" s="5"/>
      <c r="E26" s="57"/>
      <c r="H26" s="109"/>
      <c r="I26" s="109"/>
      <c r="J26" s="109"/>
      <c r="M26" s="3"/>
      <c r="P26" s="3"/>
      <c r="AQ26" s="8"/>
    </row>
    <row r="27" spans="1:50" x14ac:dyDescent="0.25">
      <c r="C27" s="5"/>
      <c r="E27" s="57"/>
      <c r="H27" s="109"/>
      <c r="I27" s="109"/>
      <c r="J27" s="109"/>
      <c r="M27" s="3"/>
      <c r="P27" s="3"/>
      <c r="AQ27" s="8"/>
    </row>
    <row r="28" spans="1:50" x14ac:dyDescent="0.25">
      <c r="C28" s="5"/>
      <c r="E28" s="57"/>
      <c r="H28" s="109"/>
      <c r="I28" s="109"/>
      <c r="J28" s="109"/>
      <c r="M28" s="3"/>
      <c r="P28" s="3"/>
      <c r="AQ28" s="8"/>
    </row>
    <row r="29" spans="1:50" x14ac:dyDescent="0.25">
      <c r="C29" s="5"/>
      <c r="E29" s="57"/>
      <c r="H29" s="109"/>
      <c r="I29" s="109"/>
      <c r="J29" s="109"/>
      <c r="M29" s="3"/>
      <c r="P29" s="3"/>
      <c r="AQ29" s="8"/>
    </row>
    <row r="30" spans="1:50" x14ac:dyDescent="0.25">
      <c r="C30" s="5"/>
      <c r="E30" s="57"/>
      <c r="H30" s="109"/>
      <c r="I30" s="109"/>
      <c r="J30" s="109"/>
      <c r="M30" s="3"/>
      <c r="P30" s="3"/>
      <c r="AQ30" s="8"/>
    </row>
    <row r="31" spans="1:50" x14ac:dyDescent="0.25">
      <c r="C31" s="5"/>
      <c r="E31" s="57"/>
      <c r="H31" s="109"/>
      <c r="I31" s="109"/>
      <c r="J31" s="109"/>
      <c r="M31" s="3"/>
      <c r="P31" s="3"/>
      <c r="AQ31" s="8"/>
    </row>
    <row r="32" spans="1:50" x14ac:dyDescent="0.25">
      <c r="C32" s="5"/>
      <c r="E32" s="57"/>
      <c r="H32" s="109"/>
      <c r="I32" s="109"/>
      <c r="J32" s="109"/>
      <c r="M32" s="3"/>
      <c r="P32" s="3"/>
      <c r="AQ32" s="8"/>
    </row>
    <row r="33" spans="3:43" x14ac:dyDescent="0.25">
      <c r="C33" s="5"/>
      <c r="E33" s="57"/>
      <c r="H33" s="109"/>
      <c r="I33" s="109"/>
      <c r="J33" s="109"/>
      <c r="M33" s="3"/>
      <c r="P33" s="3"/>
      <c r="AQ33" s="8"/>
    </row>
    <row r="34" spans="3:43" x14ac:dyDescent="0.25">
      <c r="C34" s="5"/>
      <c r="E34" s="57"/>
      <c r="H34" s="109"/>
      <c r="I34" s="109"/>
      <c r="J34" s="109"/>
      <c r="M34" s="3"/>
      <c r="P34" s="3"/>
      <c r="AQ34" s="8"/>
    </row>
    <row r="35" spans="3:43" x14ac:dyDescent="0.25">
      <c r="C35" s="5"/>
      <c r="E35" s="57"/>
      <c r="H35" s="109"/>
      <c r="I35" s="109"/>
      <c r="J35" s="109"/>
      <c r="M35" s="3"/>
      <c r="P35" s="3"/>
      <c r="AQ35" s="8"/>
    </row>
    <row r="36" spans="3:43" x14ac:dyDescent="0.25">
      <c r="C36" s="5"/>
      <c r="E36" s="57"/>
      <c r="H36" s="109"/>
      <c r="I36" s="109"/>
      <c r="J36" s="109"/>
      <c r="M36" s="3"/>
      <c r="P36" s="3"/>
      <c r="AQ36" s="8"/>
    </row>
    <row r="37" spans="3:43" x14ac:dyDescent="0.25">
      <c r="C37" s="5"/>
      <c r="E37" s="57"/>
      <c r="H37" s="109"/>
      <c r="I37" s="109"/>
      <c r="J37" s="109"/>
      <c r="M37" s="3"/>
      <c r="P37" s="3"/>
      <c r="AQ37" s="8"/>
    </row>
    <row r="38" spans="3:43" x14ac:dyDescent="0.25">
      <c r="C38" s="5"/>
      <c r="E38" s="57"/>
      <c r="H38" s="109"/>
      <c r="I38" s="109"/>
      <c r="J38" s="109"/>
      <c r="M38" s="3"/>
      <c r="P38" s="3"/>
      <c r="AQ38" s="8"/>
    </row>
    <row r="39" spans="3:43" x14ac:dyDescent="0.25">
      <c r="C39" s="5"/>
      <c r="E39" s="57"/>
      <c r="H39" s="109"/>
      <c r="I39" s="109"/>
      <c r="J39" s="109"/>
      <c r="M39" s="3"/>
      <c r="P39" s="3"/>
      <c r="AQ39" s="8"/>
    </row>
    <row r="40" spans="3:43" x14ac:dyDescent="0.25">
      <c r="C40" s="5"/>
      <c r="E40" s="57"/>
      <c r="H40" s="109"/>
      <c r="I40" s="109"/>
      <c r="J40" s="109"/>
      <c r="M40" s="3"/>
      <c r="P40" s="3"/>
      <c r="AQ40" s="8"/>
    </row>
    <row r="41" spans="3:43" x14ac:dyDescent="0.25">
      <c r="C41" s="5"/>
      <c r="E41" s="57"/>
      <c r="H41" s="109"/>
      <c r="I41" s="109"/>
      <c r="J41" s="109"/>
      <c r="M41" s="3"/>
      <c r="P41" s="3"/>
      <c r="AQ41" s="8"/>
    </row>
    <row r="42" spans="3:43" x14ac:dyDescent="0.25">
      <c r="C42" s="5"/>
      <c r="E42" s="57"/>
      <c r="H42" s="109"/>
      <c r="I42" s="109"/>
      <c r="J42" s="109"/>
      <c r="M42" s="3"/>
      <c r="P42" s="3"/>
      <c r="AQ42" s="8"/>
    </row>
    <row r="43" spans="3:43" x14ac:dyDescent="0.25">
      <c r="C43" s="5"/>
      <c r="E43" s="57"/>
      <c r="H43" s="109"/>
      <c r="I43" s="109"/>
      <c r="J43" s="109"/>
      <c r="M43" s="3"/>
      <c r="P43" s="3"/>
      <c r="AQ43" s="8"/>
    </row>
    <row r="44" spans="3:43" x14ac:dyDescent="0.25">
      <c r="C44" s="5"/>
      <c r="E44" s="57"/>
      <c r="H44" s="109"/>
      <c r="I44" s="109"/>
      <c r="J44" s="109"/>
      <c r="M44" s="3"/>
      <c r="P44" s="3"/>
      <c r="AQ44" s="8"/>
    </row>
    <row r="45" spans="3:43" x14ac:dyDescent="0.25">
      <c r="C45" s="5"/>
      <c r="E45" s="57"/>
      <c r="H45" s="109"/>
      <c r="I45" s="109"/>
      <c r="J45" s="109"/>
      <c r="M45" s="3"/>
      <c r="P45" s="3"/>
      <c r="AQ45" s="8"/>
    </row>
    <row r="46" spans="3:43" x14ac:dyDescent="0.25">
      <c r="C46" s="5"/>
      <c r="E46" s="57"/>
      <c r="H46" s="109"/>
      <c r="I46" s="109"/>
      <c r="J46" s="109"/>
      <c r="M46" s="3"/>
      <c r="P46" s="3"/>
      <c r="AQ46" s="8"/>
    </row>
    <row r="47" spans="3:43" x14ac:dyDescent="0.25">
      <c r="C47" s="5"/>
      <c r="E47" s="57"/>
      <c r="H47" s="109"/>
      <c r="I47" s="109"/>
      <c r="J47" s="109"/>
      <c r="M47" s="3"/>
      <c r="P47" s="3"/>
      <c r="AQ47" s="8"/>
    </row>
    <row r="48" spans="3:43" x14ac:dyDescent="0.25">
      <c r="C48" s="5"/>
      <c r="E48" s="57"/>
      <c r="H48" s="109"/>
      <c r="I48" s="109"/>
      <c r="J48" s="109"/>
      <c r="M48" s="3"/>
      <c r="P48" s="3"/>
      <c r="AQ48" s="8"/>
    </row>
    <row r="49" spans="3:43" x14ac:dyDescent="0.25">
      <c r="C49" s="5"/>
      <c r="E49" s="57"/>
      <c r="H49" s="109"/>
      <c r="I49" s="109"/>
      <c r="J49" s="109"/>
      <c r="M49" s="3"/>
      <c r="P49" s="3"/>
      <c r="AQ49" s="8"/>
    </row>
    <row r="50" spans="3:43" x14ac:dyDescent="0.25">
      <c r="C50" s="5"/>
      <c r="E50" s="57"/>
      <c r="H50" s="109"/>
      <c r="I50" s="109"/>
      <c r="J50" s="109"/>
      <c r="M50" s="3"/>
      <c r="P50" s="3"/>
      <c r="AQ50" s="8"/>
    </row>
    <row r="51" spans="3:43" x14ac:dyDescent="0.25">
      <c r="C51" s="5"/>
      <c r="E51" s="57"/>
      <c r="H51" s="109"/>
      <c r="I51" s="109"/>
      <c r="J51" s="109"/>
      <c r="M51" s="3"/>
      <c r="P51" s="3"/>
      <c r="AQ51" s="8"/>
    </row>
    <row r="52" spans="3:43" x14ac:dyDescent="0.25">
      <c r="C52" s="5"/>
      <c r="E52" s="57"/>
      <c r="H52" s="109"/>
      <c r="I52" s="109"/>
      <c r="J52" s="109"/>
      <c r="M52" s="3"/>
      <c r="P52" s="3"/>
      <c r="AQ52" s="8"/>
    </row>
    <row r="53" spans="3:43" x14ac:dyDescent="0.25">
      <c r="C53" s="5"/>
      <c r="E53" s="57"/>
      <c r="H53" s="109"/>
      <c r="I53" s="109"/>
      <c r="J53" s="109"/>
      <c r="M53" s="3"/>
      <c r="P53" s="3"/>
      <c r="AQ53" s="8"/>
    </row>
    <row r="54" spans="3:43" x14ac:dyDescent="0.25">
      <c r="C54" s="5"/>
      <c r="E54" s="57"/>
      <c r="H54" s="109"/>
      <c r="I54" s="109"/>
      <c r="J54" s="109"/>
      <c r="M54" s="3"/>
      <c r="P54" s="3"/>
      <c r="AQ54" s="8"/>
    </row>
    <row r="55" spans="3:43" x14ac:dyDescent="0.25">
      <c r="C55" s="5"/>
      <c r="E55" s="57"/>
      <c r="H55" s="109"/>
      <c r="I55" s="109"/>
      <c r="J55" s="109"/>
      <c r="M55" s="3"/>
      <c r="P55" s="3"/>
      <c r="AQ55" s="8"/>
    </row>
    <row r="56" spans="3:43" x14ac:dyDescent="0.25">
      <c r="C56" s="5"/>
      <c r="E56" s="57"/>
      <c r="H56" s="109"/>
      <c r="I56" s="109"/>
      <c r="J56" s="109"/>
      <c r="M56" s="3"/>
      <c r="P56" s="3"/>
      <c r="AQ56" s="8"/>
    </row>
    <row r="57" spans="3:43" x14ac:dyDescent="0.25">
      <c r="C57" s="5"/>
      <c r="H57" s="109"/>
      <c r="I57" s="109"/>
      <c r="J57" s="109"/>
      <c r="M57" s="3"/>
      <c r="P57" s="3"/>
      <c r="AQ57" s="8"/>
    </row>
    <row r="58" spans="3:43" x14ac:dyDescent="0.25">
      <c r="C58" s="5"/>
      <c r="H58" s="109"/>
      <c r="I58" s="109"/>
      <c r="J58" s="109"/>
      <c r="M58" s="3"/>
      <c r="P58" s="3"/>
      <c r="AQ58" s="8"/>
    </row>
    <row r="59" spans="3:43" x14ac:dyDescent="0.25">
      <c r="C59" s="5"/>
      <c r="H59" s="109"/>
      <c r="I59" s="109"/>
      <c r="J59" s="109"/>
      <c r="M59" s="3"/>
      <c r="P59" s="3"/>
      <c r="AQ59" s="8"/>
    </row>
    <row r="60" spans="3:43" x14ac:dyDescent="0.25">
      <c r="C60" s="5"/>
      <c r="H60" s="109"/>
      <c r="I60" s="109"/>
      <c r="J60" s="109"/>
      <c r="M60" s="3"/>
      <c r="P60" s="3"/>
      <c r="AQ60" s="8"/>
    </row>
    <row r="61" spans="3:43" x14ac:dyDescent="0.25">
      <c r="C61" s="5"/>
      <c r="H61" s="109"/>
      <c r="I61" s="109"/>
      <c r="J61" s="109"/>
      <c r="M61" s="3"/>
      <c r="P61" s="3"/>
      <c r="AQ61" s="8"/>
    </row>
    <row r="62" spans="3:43" x14ac:dyDescent="0.25">
      <c r="C62" s="5"/>
      <c r="H62" s="109"/>
      <c r="I62" s="109"/>
      <c r="J62" s="109"/>
      <c r="M62" s="3"/>
      <c r="P62" s="3"/>
      <c r="AQ62" s="8"/>
    </row>
    <row r="63" spans="3:43" x14ac:dyDescent="0.25">
      <c r="C63" s="5"/>
      <c r="H63" s="109"/>
      <c r="I63" s="109"/>
      <c r="J63" s="109"/>
      <c r="M63" s="3"/>
      <c r="P63" s="3"/>
      <c r="AQ63" s="8"/>
    </row>
    <row r="64" spans="3:43" x14ac:dyDescent="0.25">
      <c r="C64" s="5"/>
      <c r="H64" s="109"/>
      <c r="I64" s="109"/>
      <c r="J64" s="109"/>
      <c r="M64" s="3"/>
      <c r="P64" s="3"/>
      <c r="AQ64" s="8"/>
    </row>
    <row r="65" spans="3:43" x14ac:dyDescent="0.25">
      <c r="C65" s="5"/>
      <c r="H65" s="109"/>
      <c r="I65" s="109"/>
      <c r="J65" s="109"/>
      <c r="M65" s="3"/>
      <c r="P65" s="3"/>
      <c r="AQ65" s="8"/>
    </row>
    <row r="66" spans="3:43" x14ac:dyDescent="0.25">
      <c r="C66" s="5"/>
      <c r="H66" s="109"/>
      <c r="I66" s="109"/>
      <c r="J66" s="109"/>
      <c r="M66" s="3"/>
      <c r="P66" s="3"/>
      <c r="AQ66" s="8"/>
    </row>
    <row r="67" spans="3:43" x14ac:dyDescent="0.25">
      <c r="C67" s="5"/>
      <c r="H67" s="109"/>
      <c r="I67" s="109"/>
      <c r="J67" s="109"/>
      <c r="M67" s="3"/>
      <c r="P67" s="3"/>
      <c r="AQ67" s="8"/>
    </row>
    <row r="68" spans="3:43" x14ac:dyDescent="0.25">
      <c r="C68" s="5"/>
      <c r="H68" s="109"/>
      <c r="I68" s="109"/>
      <c r="J68" s="109"/>
      <c r="M68" s="3"/>
      <c r="P68" s="3"/>
      <c r="AQ68" s="8"/>
    </row>
    <row r="69" spans="3:43" x14ac:dyDescent="0.25">
      <c r="C69" s="5"/>
      <c r="H69" s="109"/>
      <c r="I69" s="109"/>
      <c r="J69" s="109"/>
      <c r="M69" s="3"/>
      <c r="P69" s="3"/>
      <c r="AQ69" s="8"/>
    </row>
    <row r="70" spans="3:43" x14ac:dyDescent="0.25">
      <c r="C70" s="5"/>
      <c r="H70" s="109"/>
      <c r="I70" s="109"/>
      <c r="J70" s="109"/>
      <c r="M70" s="3"/>
      <c r="P70" s="3"/>
      <c r="AQ70" s="8"/>
    </row>
    <row r="71" spans="3:43" x14ac:dyDescent="0.25">
      <c r="C71" s="5"/>
      <c r="H71" s="109"/>
      <c r="I71" s="109"/>
      <c r="J71" s="109"/>
      <c r="M71" s="3"/>
      <c r="P71" s="3"/>
      <c r="AQ71" s="8"/>
    </row>
    <row r="72" spans="3:43" x14ac:dyDescent="0.25">
      <c r="C72" s="5"/>
      <c r="H72" s="109"/>
      <c r="I72" s="109"/>
      <c r="J72" s="109"/>
      <c r="M72" s="3"/>
      <c r="P72" s="3"/>
      <c r="AQ72" s="8"/>
    </row>
    <row r="73" spans="3:43" x14ac:dyDescent="0.25">
      <c r="C73" s="5"/>
      <c r="H73" s="109"/>
      <c r="I73" s="109"/>
      <c r="J73" s="109"/>
      <c r="M73" s="3"/>
      <c r="P73" s="3"/>
      <c r="AQ73" s="8"/>
    </row>
    <row r="74" spans="3:43" x14ac:dyDescent="0.25">
      <c r="C74" s="5"/>
      <c r="H74" s="109"/>
      <c r="I74" s="109"/>
      <c r="J74" s="109"/>
      <c r="M74" s="3"/>
      <c r="P74" s="3"/>
      <c r="AQ74" s="8"/>
    </row>
    <row r="75" spans="3:43" x14ac:dyDescent="0.25">
      <c r="C75" s="5"/>
      <c r="H75" s="109"/>
      <c r="I75" s="109"/>
      <c r="J75" s="109"/>
      <c r="M75" s="3"/>
      <c r="P75" s="3"/>
      <c r="AQ75" s="8"/>
    </row>
    <row r="76" spans="3:43" x14ac:dyDescent="0.25">
      <c r="C76" s="5"/>
      <c r="H76" s="109"/>
      <c r="I76" s="109"/>
      <c r="J76" s="109"/>
      <c r="M76" s="3"/>
      <c r="P76" s="3"/>
      <c r="AQ76" s="8"/>
    </row>
    <row r="77" spans="3:43" x14ac:dyDescent="0.25">
      <c r="C77" s="5"/>
      <c r="H77" s="109"/>
      <c r="I77" s="109"/>
      <c r="J77" s="109"/>
      <c r="M77" s="3"/>
      <c r="P77" s="3"/>
      <c r="AQ77" s="8"/>
    </row>
    <row r="78" spans="3:43" x14ac:dyDescent="0.25">
      <c r="C78" s="5"/>
      <c r="H78" s="109"/>
      <c r="I78" s="109"/>
      <c r="J78" s="109"/>
      <c r="M78" s="3"/>
      <c r="P78" s="3"/>
      <c r="AQ78" s="8"/>
    </row>
    <row r="79" spans="3:43" x14ac:dyDescent="0.25">
      <c r="C79" s="5"/>
      <c r="H79" s="109"/>
      <c r="I79" s="109"/>
      <c r="J79" s="109"/>
      <c r="M79" s="3"/>
      <c r="P79" s="3"/>
      <c r="AQ79" s="8"/>
    </row>
    <row r="80" spans="3:43" x14ac:dyDescent="0.25">
      <c r="C80" s="5"/>
      <c r="H80" s="109"/>
      <c r="I80" s="109"/>
      <c r="J80" s="109"/>
      <c r="M80" s="3"/>
      <c r="P80" s="3"/>
      <c r="AQ80" s="8"/>
    </row>
    <row r="81" spans="3:43" x14ac:dyDescent="0.25">
      <c r="C81" s="5"/>
      <c r="H81" s="109"/>
      <c r="I81" s="109"/>
      <c r="J81" s="109"/>
      <c r="M81" s="3"/>
      <c r="P81" s="3"/>
      <c r="AQ81" s="8"/>
    </row>
    <row r="82" spans="3:43" x14ac:dyDescent="0.25">
      <c r="C82" s="5"/>
      <c r="H82" s="109"/>
      <c r="I82" s="109"/>
      <c r="J82" s="109"/>
      <c r="M82" s="3"/>
      <c r="P82" s="3"/>
      <c r="AQ82" s="8"/>
    </row>
    <row r="83" spans="3:43" x14ac:dyDescent="0.25">
      <c r="C83" s="5"/>
      <c r="H83" s="109"/>
      <c r="I83" s="109"/>
      <c r="J83" s="109"/>
      <c r="M83" s="3"/>
      <c r="P83" s="3"/>
      <c r="AQ83" s="8"/>
    </row>
    <row r="84" spans="3:43" x14ac:dyDescent="0.25">
      <c r="C84" s="5"/>
      <c r="H84" s="109"/>
      <c r="I84" s="109"/>
      <c r="J84" s="109"/>
      <c r="M84" s="3"/>
      <c r="P84" s="3"/>
      <c r="AQ84" s="8"/>
    </row>
    <row r="85" spans="3:43" x14ac:dyDescent="0.25">
      <c r="C85" s="5"/>
      <c r="H85" s="109"/>
      <c r="I85" s="109"/>
      <c r="J85" s="109"/>
      <c r="M85" s="3"/>
      <c r="P85" s="3"/>
      <c r="AQ85" s="8"/>
    </row>
    <row r="86" spans="3:43" x14ac:dyDescent="0.25">
      <c r="C86" s="5"/>
      <c r="H86" s="109"/>
      <c r="I86" s="109"/>
      <c r="J86" s="109"/>
      <c r="M86" s="3"/>
      <c r="P86" s="3"/>
      <c r="AQ86" s="8"/>
    </row>
    <row r="87" spans="3:43" x14ac:dyDescent="0.25">
      <c r="C87" s="5"/>
      <c r="H87" s="109"/>
      <c r="I87" s="109"/>
      <c r="J87" s="109"/>
      <c r="M87" s="3"/>
      <c r="P87" s="3"/>
      <c r="AQ87" s="8"/>
    </row>
    <row r="88" spans="3:43" x14ac:dyDescent="0.25">
      <c r="C88" s="5"/>
      <c r="H88" s="109"/>
      <c r="I88" s="109"/>
      <c r="J88" s="109"/>
      <c r="M88" s="3"/>
      <c r="P88" s="3"/>
      <c r="AQ88" s="8"/>
    </row>
    <row r="89" spans="3:43" x14ac:dyDescent="0.25">
      <c r="C89" s="5"/>
      <c r="H89" s="109"/>
      <c r="I89" s="109"/>
      <c r="J89" s="109"/>
      <c r="M89" s="3"/>
      <c r="P89" s="3"/>
      <c r="AQ89" s="8"/>
    </row>
    <row r="90" spans="3:43" x14ac:dyDescent="0.25">
      <c r="C90" s="5"/>
      <c r="H90" s="109"/>
      <c r="I90" s="109"/>
      <c r="J90" s="109"/>
      <c r="M90" s="3"/>
      <c r="P90" s="3"/>
      <c r="AQ90" s="8"/>
    </row>
    <row r="91" spans="3:43" x14ac:dyDescent="0.25">
      <c r="C91" s="5"/>
      <c r="H91" s="109"/>
      <c r="I91" s="109"/>
      <c r="J91" s="109"/>
      <c r="M91" s="3"/>
      <c r="P91" s="3"/>
      <c r="AQ91" s="8"/>
    </row>
    <row r="92" spans="3:43" x14ac:dyDescent="0.25">
      <c r="C92" s="5"/>
      <c r="H92" s="109"/>
      <c r="I92" s="109"/>
      <c r="J92" s="109"/>
      <c r="M92" s="3"/>
      <c r="P92" s="3"/>
      <c r="AQ92" s="8"/>
    </row>
    <row r="93" spans="3:43" x14ac:dyDescent="0.25">
      <c r="C93" s="5"/>
      <c r="H93" s="109"/>
      <c r="I93" s="109"/>
      <c r="J93" s="109"/>
      <c r="M93" s="3"/>
      <c r="P93" s="3"/>
      <c r="AQ93" s="8"/>
    </row>
    <row r="94" spans="3:43" x14ac:dyDescent="0.25">
      <c r="C94" s="5"/>
      <c r="H94" s="109"/>
      <c r="I94" s="109"/>
      <c r="J94" s="109"/>
      <c r="M94" s="3"/>
      <c r="P94" s="3"/>
      <c r="AQ94" s="8"/>
    </row>
    <row r="95" spans="3:43" x14ac:dyDescent="0.25">
      <c r="C95" s="5"/>
      <c r="H95" s="109"/>
      <c r="I95" s="109"/>
      <c r="J95" s="109"/>
      <c r="M95" s="3"/>
      <c r="P95" s="3"/>
      <c r="AQ95" s="8"/>
    </row>
    <row r="96" spans="3:43" x14ac:dyDescent="0.25">
      <c r="C96" s="5"/>
      <c r="H96" s="109"/>
      <c r="I96" s="109"/>
      <c r="J96" s="109"/>
      <c r="M96" s="3"/>
      <c r="P96" s="3"/>
      <c r="AQ96" s="8"/>
    </row>
    <row r="97" spans="3:43" x14ac:dyDescent="0.25">
      <c r="C97" s="5"/>
      <c r="H97" s="109"/>
      <c r="I97" s="109"/>
      <c r="J97" s="109"/>
      <c r="M97" s="3"/>
      <c r="P97" s="3"/>
      <c r="AQ97" s="8"/>
    </row>
    <row r="98" spans="3:43" x14ac:dyDescent="0.25">
      <c r="C98" s="5"/>
      <c r="H98" s="109"/>
      <c r="I98" s="109"/>
      <c r="J98" s="109"/>
      <c r="M98" s="3"/>
      <c r="P98" s="3"/>
      <c r="AQ98" s="8"/>
    </row>
    <row r="99" spans="3:43" x14ac:dyDescent="0.25">
      <c r="C99" s="5"/>
      <c r="H99" s="109"/>
      <c r="I99" s="109"/>
      <c r="J99" s="109"/>
      <c r="M99" s="3"/>
      <c r="P99" s="3"/>
      <c r="AQ99" s="8"/>
    </row>
    <row r="100" spans="3:43" x14ac:dyDescent="0.25">
      <c r="C100" s="5"/>
      <c r="H100" s="109"/>
      <c r="I100" s="109"/>
      <c r="J100" s="109"/>
      <c r="M100" s="3"/>
      <c r="P100" s="3"/>
      <c r="AQ100" s="8"/>
    </row>
    <row r="101" spans="3:43" x14ac:dyDescent="0.25">
      <c r="C101" s="5"/>
      <c r="H101" s="109"/>
      <c r="I101" s="109"/>
      <c r="J101" s="109"/>
      <c r="M101" s="3"/>
      <c r="P101" s="3"/>
      <c r="AQ101" s="8"/>
    </row>
    <row r="102" spans="3:43" x14ac:dyDescent="0.25">
      <c r="C102" s="5"/>
      <c r="H102" s="109"/>
      <c r="I102" s="109"/>
      <c r="J102" s="109"/>
      <c r="M102" s="3"/>
      <c r="P102" s="3"/>
      <c r="AQ102" s="8"/>
    </row>
    <row r="103" spans="3:43" x14ac:dyDescent="0.25">
      <c r="C103" s="5"/>
      <c r="H103" s="109"/>
      <c r="I103" s="109"/>
      <c r="J103" s="109"/>
      <c r="M103" s="3"/>
      <c r="P103" s="3"/>
      <c r="AQ103" s="8"/>
    </row>
    <row r="104" spans="3:43" x14ac:dyDescent="0.25">
      <c r="C104" s="5"/>
      <c r="H104" s="109"/>
      <c r="I104" s="109"/>
      <c r="J104" s="109"/>
      <c r="M104" s="3"/>
      <c r="P104" s="3"/>
      <c r="AQ104" s="8"/>
    </row>
    <row r="105" spans="3:43" x14ac:dyDescent="0.25">
      <c r="C105" s="5"/>
      <c r="H105" s="109"/>
      <c r="I105" s="109"/>
      <c r="J105" s="109"/>
      <c r="M105" s="3"/>
      <c r="P105" s="3"/>
      <c r="AQ105" s="8"/>
    </row>
    <row r="106" spans="3:43" x14ac:dyDescent="0.25">
      <c r="C106" s="5"/>
      <c r="H106" s="109"/>
      <c r="I106" s="109"/>
      <c r="J106" s="109"/>
      <c r="M106" s="3"/>
      <c r="P106" s="3"/>
      <c r="AQ106" s="8"/>
    </row>
    <row r="107" spans="3:43" x14ac:dyDescent="0.25">
      <c r="C107" s="5"/>
      <c r="H107" s="109"/>
      <c r="I107" s="109"/>
      <c r="J107" s="109"/>
      <c r="M107" s="3"/>
      <c r="P107" s="3"/>
      <c r="AQ107" s="8"/>
    </row>
    <row r="108" spans="3:43" x14ac:dyDescent="0.25">
      <c r="C108" s="5"/>
      <c r="H108" s="109"/>
      <c r="I108" s="109"/>
      <c r="J108" s="109"/>
      <c r="M108" s="3"/>
      <c r="P108" s="3"/>
      <c r="AQ108" s="8"/>
    </row>
    <row r="109" spans="3:43" x14ac:dyDescent="0.25">
      <c r="C109" s="5"/>
      <c r="H109" s="109"/>
      <c r="I109" s="109"/>
      <c r="J109" s="109"/>
      <c r="M109" s="3"/>
      <c r="P109" s="3"/>
      <c r="AQ109" s="8"/>
    </row>
    <row r="110" spans="3:43" x14ac:dyDescent="0.25">
      <c r="C110" s="5"/>
      <c r="H110" s="109"/>
      <c r="I110" s="109"/>
      <c r="J110" s="109"/>
      <c r="M110" s="3"/>
      <c r="P110" s="3"/>
      <c r="AQ110" s="8"/>
    </row>
    <row r="111" spans="3:43" x14ac:dyDescent="0.25">
      <c r="C111" s="5"/>
      <c r="H111" s="109"/>
      <c r="I111" s="109"/>
      <c r="J111" s="109"/>
      <c r="M111" s="3"/>
      <c r="P111" s="3"/>
      <c r="AQ111" s="8"/>
    </row>
    <row r="112" spans="3:43" x14ac:dyDescent="0.25">
      <c r="C112" s="5"/>
      <c r="H112" s="109"/>
      <c r="I112" s="109"/>
      <c r="J112" s="109"/>
      <c r="M112" s="3"/>
      <c r="P112" s="3"/>
      <c r="AQ112" s="8"/>
    </row>
    <row r="113" spans="3:43" x14ac:dyDescent="0.25">
      <c r="C113" s="5"/>
      <c r="H113" s="109"/>
      <c r="I113" s="109"/>
      <c r="J113" s="109"/>
      <c r="M113" s="3"/>
      <c r="P113" s="3"/>
      <c r="AQ113" s="8"/>
    </row>
    <row r="114" spans="3:43" x14ac:dyDescent="0.25">
      <c r="C114" s="5"/>
      <c r="H114" s="109"/>
      <c r="I114" s="109"/>
      <c r="J114" s="109"/>
      <c r="M114" s="3"/>
      <c r="P114" s="3"/>
      <c r="AQ114" s="8"/>
    </row>
    <row r="115" spans="3:43" x14ac:dyDescent="0.25">
      <c r="C115" s="5"/>
      <c r="H115" s="109"/>
      <c r="I115" s="109"/>
      <c r="J115" s="109"/>
      <c r="M115" s="3"/>
      <c r="P115" s="3"/>
      <c r="AQ115" s="8"/>
    </row>
    <row r="116" spans="3:43" x14ac:dyDescent="0.25">
      <c r="C116" s="5"/>
      <c r="H116" s="109"/>
      <c r="I116" s="109"/>
      <c r="J116" s="109"/>
      <c r="M116" s="3"/>
      <c r="P116" s="3"/>
      <c r="AQ116" s="8"/>
    </row>
    <row r="117" spans="3:43" x14ac:dyDescent="0.25">
      <c r="C117" s="5"/>
      <c r="H117" s="109"/>
      <c r="I117" s="109"/>
      <c r="J117" s="109"/>
      <c r="M117" s="3"/>
      <c r="P117" s="3"/>
      <c r="AQ117" s="8"/>
    </row>
    <row r="118" spans="3:43" x14ac:dyDescent="0.25">
      <c r="C118" s="5"/>
      <c r="H118" s="109"/>
      <c r="I118" s="109"/>
      <c r="J118" s="109"/>
      <c r="M118" s="3"/>
      <c r="P118" s="3"/>
      <c r="AQ118" s="8"/>
    </row>
    <row r="119" spans="3:43" x14ac:dyDescent="0.25">
      <c r="C119" s="5"/>
      <c r="H119" s="109"/>
      <c r="I119" s="109"/>
      <c r="J119" s="109"/>
      <c r="M119" s="3"/>
      <c r="P119" s="3"/>
      <c r="AQ119" s="8"/>
    </row>
    <row r="120" spans="3:43" x14ac:dyDescent="0.25">
      <c r="C120" s="5"/>
      <c r="H120" s="109"/>
      <c r="I120" s="109"/>
      <c r="J120" s="109"/>
      <c r="M120" s="3"/>
      <c r="P120" s="3"/>
      <c r="AQ120" s="8"/>
    </row>
    <row r="121" spans="3:43" x14ac:dyDescent="0.25">
      <c r="C121" s="5"/>
      <c r="H121" s="109"/>
      <c r="I121" s="109"/>
      <c r="J121" s="109"/>
      <c r="M121" s="3"/>
      <c r="P121" s="3"/>
      <c r="AQ121" s="8"/>
    </row>
    <row r="122" spans="3:43" x14ac:dyDescent="0.25">
      <c r="C122" s="5"/>
      <c r="H122" s="109"/>
      <c r="I122" s="109"/>
      <c r="J122" s="109"/>
      <c r="M122" s="3"/>
      <c r="P122" s="3"/>
      <c r="AQ122" s="8"/>
    </row>
    <row r="123" spans="3:43" x14ac:dyDescent="0.25">
      <c r="C123" s="5"/>
      <c r="H123" s="109"/>
      <c r="I123" s="109"/>
      <c r="J123" s="109"/>
      <c r="M123" s="3"/>
      <c r="P123" s="3"/>
    </row>
    <row r="124" spans="3:43" x14ac:dyDescent="0.25">
      <c r="C124" s="5"/>
      <c r="H124" s="109"/>
      <c r="I124" s="109"/>
      <c r="J124" s="109"/>
      <c r="M124" s="3"/>
      <c r="P124" s="3"/>
    </row>
    <row r="125" spans="3:43" x14ac:dyDescent="0.25">
      <c r="C125" s="5"/>
      <c r="H125" s="109"/>
      <c r="I125" s="109"/>
      <c r="J125" s="109"/>
      <c r="M125" s="3"/>
      <c r="P125" s="3"/>
    </row>
    <row r="126" spans="3:43" x14ac:dyDescent="0.25">
      <c r="C126" s="5"/>
      <c r="H126" s="109"/>
      <c r="I126" s="109"/>
      <c r="J126" s="109"/>
      <c r="M126" s="3"/>
      <c r="P126" s="3"/>
    </row>
    <row r="127" spans="3:43" x14ac:dyDescent="0.25">
      <c r="C127" s="5"/>
      <c r="H127" s="109"/>
      <c r="I127" s="109"/>
      <c r="J127" s="109"/>
      <c r="M127" s="3"/>
      <c r="P127" s="3"/>
    </row>
    <row r="128" spans="3:43" x14ac:dyDescent="0.25">
      <c r="C128" s="5"/>
      <c r="H128" s="109"/>
      <c r="I128" s="109"/>
      <c r="J128" s="109"/>
      <c r="M128" s="3"/>
      <c r="P128" s="3"/>
    </row>
    <row r="129" spans="3:16" x14ac:dyDescent="0.25">
      <c r="C129" s="5"/>
      <c r="H129" s="109"/>
      <c r="I129" s="109"/>
      <c r="J129" s="109"/>
      <c r="M129" s="3"/>
      <c r="P129" s="3"/>
    </row>
    <row r="130" spans="3:16" x14ac:dyDescent="0.25">
      <c r="C130" s="5"/>
      <c r="H130" s="109"/>
      <c r="I130" s="109"/>
      <c r="J130" s="109"/>
      <c r="M130" s="3"/>
      <c r="P130" s="3"/>
    </row>
    <row r="131" spans="3:16" x14ac:dyDescent="0.25">
      <c r="C131" s="5"/>
      <c r="H131" s="109"/>
      <c r="I131" s="109"/>
      <c r="J131" s="109"/>
      <c r="M131" s="3"/>
      <c r="P131" s="3"/>
    </row>
    <row r="132" spans="3:16" x14ac:dyDescent="0.25">
      <c r="C132" s="5"/>
      <c r="H132" s="109"/>
      <c r="I132" s="109"/>
      <c r="J132" s="109"/>
      <c r="M132" s="3"/>
      <c r="P132" s="3"/>
    </row>
    <row r="133" spans="3:16" x14ac:dyDescent="0.25">
      <c r="C133" s="5"/>
      <c r="H133" s="109"/>
      <c r="I133" s="109"/>
      <c r="J133" s="109"/>
      <c r="M133" s="3"/>
      <c r="P133" s="3"/>
    </row>
    <row r="134" spans="3:16" x14ac:dyDescent="0.25">
      <c r="C134" s="5"/>
      <c r="H134" s="109"/>
      <c r="I134" s="109"/>
      <c r="J134" s="109"/>
      <c r="M134" s="3"/>
      <c r="P134" s="3"/>
    </row>
    <row r="135" spans="3:16" x14ac:dyDescent="0.25">
      <c r="C135" s="5"/>
      <c r="H135" s="109"/>
      <c r="I135" s="109"/>
      <c r="J135" s="109"/>
      <c r="M135" s="3"/>
      <c r="P135" s="3"/>
    </row>
    <row r="136" spans="3:16" x14ac:dyDescent="0.25">
      <c r="C136" s="5"/>
      <c r="H136" s="109"/>
      <c r="I136" s="109"/>
      <c r="J136" s="109"/>
      <c r="M136" s="3"/>
      <c r="P136" s="3"/>
    </row>
    <row r="137" spans="3:16" x14ac:dyDescent="0.25">
      <c r="C137" s="5"/>
      <c r="H137" s="109"/>
      <c r="I137" s="109"/>
      <c r="J137" s="109"/>
      <c r="M137" s="3"/>
      <c r="P137" s="3"/>
    </row>
    <row r="138" spans="3:16" x14ac:dyDescent="0.25">
      <c r="C138" s="5"/>
      <c r="H138" s="109"/>
      <c r="I138" s="109"/>
      <c r="J138" s="109"/>
      <c r="M138" s="3"/>
      <c r="P138" s="3"/>
    </row>
    <row r="139" spans="3:16" x14ac:dyDescent="0.25">
      <c r="C139" s="5"/>
      <c r="H139" s="109"/>
      <c r="I139" s="109"/>
      <c r="J139" s="109"/>
      <c r="M139" s="3"/>
      <c r="P139" s="3"/>
    </row>
    <row r="140" spans="3:16" x14ac:dyDescent="0.25">
      <c r="C140" s="5"/>
      <c r="H140" s="109"/>
      <c r="I140" s="109"/>
      <c r="J140" s="109"/>
      <c r="M140" s="3"/>
      <c r="P140" s="3"/>
    </row>
    <row r="141" spans="3:16" x14ac:dyDescent="0.25">
      <c r="C141" s="5"/>
      <c r="H141" s="109"/>
      <c r="I141" s="109"/>
      <c r="J141" s="109"/>
      <c r="M141" s="3"/>
      <c r="P141" s="3"/>
    </row>
    <row r="142" spans="3:16" x14ac:dyDescent="0.25">
      <c r="C142" s="5"/>
      <c r="H142" s="109"/>
      <c r="I142" s="109"/>
      <c r="J142" s="109"/>
      <c r="M142" s="3"/>
      <c r="P142" s="3"/>
    </row>
    <row r="143" spans="3:16" x14ac:dyDescent="0.25">
      <c r="C143" s="5"/>
      <c r="H143" s="109"/>
      <c r="I143" s="109"/>
      <c r="J143" s="109"/>
      <c r="M143" s="3"/>
      <c r="P143" s="3"/>
    </row>
    <row r="144" spans="3:16" x14ac:dyDescent="0.25">
      <c r="C144" s="5"/>
      <c r="H144" s="109"/>
      <c r="I144" s="109"/>
      <c r="J144" s="109"/>
      <c r="M144" s="3"/>
      <c r="P144" s="3"/>
    </row>
    <row r="145" spans="3:18" x14ac:dyDescent="0.25">
      <c r="C145" s="5"/>
      <c r="H145" s="109"/>
      <c r="I145" s="109"/>
      <c r="J145" s="109"/>
      <c r="M145" s="3"/>
      <c r="P145" s="3"/>
    </row>
    <row r="146" spans="3:18" x14ac:dyDescent="0.25">
      <c r="C146" s="5"/>
      <c r="H146" s="109"/>
      <c r="I146" s="109"/>
      <c r="J146" s="109"/>
      <c r="M146" s="3"/>
      <c r="P146" s="3"/>
    </row>
    <row r="147" spans="3:18" x14ac:dyDescent="0.25">
      <c r="C147" s="5"/>
      <c r="H147" s="109"/>
      <c r="I147" s="109"/>
      <c r="J147" s="109"/>
      <c r="M147" s="3"/>
      <c r="P147" s="3"/>
    </row>
    <row r="148" spans="3:18" x14ac:dyDescent="0.25">
      <c r="C148" s="5"/>
      <c r="H148" s="109"/>
      <c r="I148" s="109"/>
      <c r="J148" s="109"/>
      <c r="M148" s="3"/>
      <c r="P148" s="3"/>
    </row>
    <row r="149" spans="3:18" x14ac:dyDescent="0.25">
      <c r="C149" s="5"/>
      <c r="H149" s="109"/>
      <c r="I149" s="109"/>
      <c r="J149" s="109"/>
      <c r="M149" s="3"/>
      <c r="P149" s="3"/>
    </row>
    <row r="150" spans="3:18" x14ac:dyDescent="0.25">
      <c r="C150" s="5"/>
      <c r="H150" s="109"/>
      <c r="I150" s="109"/>
      <c r="J150" s="109"/>
      <c r="M150" s="3"/>
      <c r="P150" s="3"/>
    </row>
    <row r="151" spans="3:18" x14ac:dyDescent="0.25">
      <c r="C151" s="5"/>
      <c r="H151" s="109"/>
      <c r="I151" s="109"/>
      <c r="J151" s="109"/>
      <c r="M151" s="3"/>
      <c r="P151" s="3"/>
    </row>
    <row r="152" spans="3:18" x14ac:dyDescent="0.25">
      <c r="C152" s="5"/>
      <c r="H152" s="109"/>
      <c r="I152" s="109"/>
      <c r="J152" s="109"/>
      <c r="M152" s="3"/>
      <c r="P152" s="3"/>
    </row>
    <row r="153" spans="3:18" x14ac:dyDescent="0.25">
      <c r="K153"/>
      <c r="M153" s="8"/>
      <c r="N153"/>
      <c r="P153" s="8"/>
      <c r="R153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topLeftCell="A7" zoomScale="85" zoomScaleNormal="85" workbookViewId="0">
      <selection activeCell="F15" sqref="F15"/>
    </sheetView>
  </sheetViews>
  <sheetFormatPr defaultRowHeight="15" x14ac:dyDescent="0.25"/>
  <cols>
    <col min="1" max="1" width="10.7109375" style="189" customWidth="1"/>
    <col min="2" max="3" width="20.7109375" style="190" customWidth="1"/>
    <col min="4" max="4" width="20.7109375" style="189" customWidth="1"/>
    <col min="5" max="5" width="40.7109375" style="189" customWidth="1"/>
    <col min="6" max="6" width="40.7109375" style="197" customWidth="1"/>
    <col min="7" max="7" width="16.7109375" style="189" customWidth="1"/>
    <col min="8" max="8" width="20.7109375" style="189" customWidth="1"/>
    <col min="9" max="9" width="22" style="189" bestFit="1" customWidth="1"/>
    <col min="10" max="10" width="15.28515625" style="190" bestFit="1" customWidth="1"/>
  </cols>
  <sheetData>
    <row r="1" spans="1:10" s="2" customFormat="1" ht="45" x14ac:dyDescent="0.25">
      <c r="A1" s="195" t="s">
        <v>21</v>
      </c>
      <c r="B1" s="196" t="s">
        <v>415</v>
      </c>
      <c r="C1" s="196" t="s">
        <v>47</v>
      </c>
      <c r="D1" s="195" t="s">
        <v>48</v>
      </c>
      <c r="E1" s="195" t="s">
        <v>7</v>
      </c>
      <c r="F1" s="195" t="s">
        <v>184</v>
      </c>
      <c r="G1" s="195" t="s">
        <v>49</v>
      </c>
      <c r="H1" s="195" t="s">
        <v>50</v>
      </c>
      <c r="I1" s="195" t="s">
        <v>318</v>
      </c>
      <c r="J1" s="196" t="s">
        <v>319</v>
      </c>
    </row>
    <row r="2" spans="1:10" s="23" customFormat="1" x14ac:dyDescent="0.25">
      <c r="A2" s="189">
        <v>2</v>
      </c>
      <c r="B2" s="190" t="s">
        <v>398</v>
      </c>
      <c r="C2" s="190" t="s">
        <v>156</v>
      </c>
      <c r="D2" s="189" t="s">
        <v>159</v>
      </c>
      <c r="E2" s="210" t="s">
        <v>248</v>
      </c>
      <c r="F2" s="197" t="s">
        <v>162</v>
      </c>
      <c r="G2" s="191">
        <v>75.95</v>
      </c>
      <c r="H2" s="189"/>
      <c r="I2" s="189" t="b">
        <f t="shared" ref="I2:I15" si="0">IF(ISERROR(VLOOKUP(E2,BenefitCategoryList,1,FALSE)),FALSE,TRUE)</f>
        <v>1</v>
      </c>
      <c r="J2" s="192">
        <f>COUNTIF(FRACTURE_TIMELINE!ServiceCode,A2)</f>
        <v>1</v>
      </c>
    </row>
    <row r="3" spans="1:10" s="23" customFormat="1" ht="75" x14ac:dyDescent="0.25">
      <c r="A3" s="189">
        <v>4</v>
      </c>
      <c r="B3" s="190" t="s">
        <v>400</v>
      </c>
      <c r="C3" s="190">
        <v>99284</v>
      </c>
      <c r="D3" s="189" t="s">
        <v>160</v>
      </c>
      <c r="E3" s="210" t="s">
        <v>286</v>
      </c>
      <c r="F3" s="197" t="s">
        <v>163</v>
      </c>
      <c r="G3" s="191">
        <v>271.37</v>
      </c>
      <c r="H3" s="189"/>
      <c r="I3" s="189" t="b">
        <f t="shared" si="0"/>
        <v>1</v>
      </c>
      <c r="J3" s="192">
        <f>COUNTIF(FRACTURE_TIMELINE!ServiceCode,A3)</f>
        <v>1</v>
      </c>
    </row>
    <row r="4" spans="1:10" s="23" customFormat="1" ht="30" x14ac:dyDescent="0.25">
      <c r="A4" s="189">
        <v>5</v>
      </c>
      <c r="B4" s="190" t="s">
        <v>400</v>
      </c>
      <c r="C4" s="190">
        <v>73630</v>
      </c>
      <c r="D4" s="189" t="s">
        <v>160</v>
      </c>
      <c r="E4" s="210" t="s">
        <v>286</v>
      </c>
      <c r="F4" s="197" t="s">
        <v>164</v>
      </c>
      <c r="G4" s="191">
        <v>33.92</v>
      </c>
      <c r="H4" s="189"/>
      <c r="I4" s="189" t="b">
        <f t="shared" si="0"/>
        <v>1</v>
      </c>
      <c r="J4" s="192">
        <f>COUNTIF(FRACTURE_TIMELINE!ServiceCode,A4)</f>
        <v>1</v>
      </c>
    </row>
    <row r="5" spans="1:10" s="23" customFormat="1" ht="30" x14ac:dyDescent="0.25">
      <c r="A5" s="189">
        <v>6</v>
      </c>
      <c r="B5" s="190" t="s">
        <v>400</v>
      </c>
      <c r="C5" s="190">
        <v>28470</v>
      </c>
      <c r="D5" s="189" t="s">
        <v>160</v>
      </c>
      <c r="E5" s="210" t="s">
        <v>286</v>
      </c>
      <c r="F5" s="197" t="s">
        <v>165</v>
      </c>
      <c r="G5" s="191">
        <v>252.12</v>
      </c>
      <c r="H5" s="189"/>
      <c r="I5" s="189" t="b">
        <f t="shared" si="0"/>
        <v>1</v>
      </c>
      <c r="J5" s="192">
        <f>COUNTIF(FRACTURE_TIMELINE!ServiceCode,A5)</f>
        <v>1</v>
      </c>
    </row>
    <row r="6" spans="1:10" s="23" customFormat="1" ht="45" x14ac:dyDescent="0.25">
      <c r="A6" s="189">
        <v>9</v>
      </c>
      <c r="B6" s="190"/>
      <c r="C6" s="190" t="s">
        <v>157</v>
      </c>
      <c r="D6" s="189" t="s">
        <v>51</v>
      </c>
      <c r="E6" s="210" t="s">
        <v>43</v>
      </c>
      <c r="F6" s="197" t="s">
        <v>166</v>
      </c>
      <c r="G6" s="191">
        <v>36.61</v>
      </c>
      <c r="H6" s="189"/>
      <c r="I6" s="189" t="b">
        <f t="shared" si="0"/>
        <v>1</v>
      </c>
      <c r="J6" s="192">
        <f>COUNTIF(FRACTURE_TIMELINE!ServiceCode,A6)</f>
        <v>1</v>
      </c>
    </row>
    <row r="7" spans="1:10" s="23" customFormat="1" ht="75" x14ac:dyDescent="0.25">
      <c r="A7" s="189">
        <v>11</v>
      </c>
      <c r="B7" s="190" t="s">
        <v>400</v>
      </c>
      <c r="C7" s="190">
        <v>99203</v>
      </c>
      <c r="D7" s="189" t="s">
        <v>160</v>
      </c>
      <c r="E7" s="210" t="s">
        <v>285</v>
      </c>
      <c r="F7" s="197" t="s">
        <v>167</v>
      </c>
      <c r="G7" s="191">
        <v>109.78</v>
      </c>
      <c r="H7" s="189"/>
      <c r="I7" s="189" t="b">
        <f t="shared" si="0"/>
        <v>1</v>
      </c>
      <c r="J7" s="192">
        <f>COUNTIF(FRACTURE_TIMELINE!ServiceCode,A7)</f>
        <v>1</v>
      </c>
    </row>
    <row r="8" spans="1:10" s="23" customFormat="1" ht="30" x14ac:dyDescent="0.25">
      <c r="A8" s="189">
        <v>12</v>
      </c>
      <c r="B8" s="190" t="s">
        <v>400</v>
      </c>
      <c r="C8" s="190">
        <v>29405</v>
      </c>
      <c r="D8" s="189" t="s">
        <v>160</v>
      </c>
      <c r="E8" s="210" t="s">
        <v>285</v>
      </c>
      <c r="F8" s="197" t="s">
        <v>168</v>
      </c>
      <c r="G8" s="191">
        <v>110.59</v>
      </c>
      <c r="H8" s="189"/>
      <c r="I8" s="189" t="b">
        <f t="shared" si="0"/>
        <v>1</v>
      </c>
      <c r="J8" s="192">
        <f>COUNTIF(FRACTURE_TIMELINE!ServiceCode,A8)</f>
        <v>1</v>
      </c>
    </row>
    <row r="9" spans="1:10" s="23" customFormat="1" ht="30" x14ac:dyDescent="0.25">
      <c r="A9" s="189">
        <v>13</v>
      </c>
      <c r="B9" s="190" t="s">
        <v>400</v>
      </c>
      <c r="C9" s="190" t="s">
        <v>158</v>
      </c>
      <c r="D9" s="189" t="s">
        <v>160</v>
      </c>
      <c r="E9" s="210" t="s">
        <v>284</v>
      </c>
      <c r="F9" s="197" t="s">
        <v>169</v>
      </c>
      <c r="G9" s="191">
        <v>37.14</v>
      </c>
      <c r="H9" s="189"/>
      <c r="I9" s="189" t="b">
        <f t="shared" si="0"/>
        <v>1</v>
      </c>
      <c r="J9" s="192">
        <f>COUNTIF(FRACTURE_TIMELINE!ServiceCode,A9)</f>
        <v>1</v>
      </c>
    </row>
    <row r="10" spans="1:10" s="23" customFormat="1" x14ac:dyDescent="0.25">
      <c r="A10" s="189">
        <v>14</v>
      </c>
      <c r="B10" s="190" t="s">
        <v>400</v>
      </c>
      <c r="C10" s="190">
        <v>73600</v>
      </c>
      <c r="D10" s="189" t="s">
        <v>53</v>
      </c>
      <c r="E10" s="210" t="s">
        <v>37</v>
      </c>
      <c r="F10" s="197" t="s">
        <v>170</v>
      </c>
      <c r="G10" s="191">
        <v>30.2</v>
      </c>
      <c r="H10" s="189"/>
      <c r="I10" s="189" t="b">
        <f t="shared" si="0"/>
        <v>1</v>
      </c>
      <c r="J10" s="192">
        <f>COUNTIF(FRACTURE_TIMELINE!ServiceCode,A10)</f>
        <v>1</v>
      </c>
    </row>
    <row r="11" spans="1:10" s="23" customFormat="1" ht="75" x14ac:dyDescent="0.25">
      <c r="A11" s="189">
        <v>15</v>
      </c>
      <c r="B11" s="190" t="s">
        <v>400</v>
      </c>
      <c r="C11" s="190">
        <v>99213</v>
      </c>
      <c r="D11" s="189" t="s">
        <v>53</v>
      </c>
      <c r="E11" s="210" t="s">
        <v>285</v>
      </c>
      <c r="F11" s="197" t="s">
        <v>171</v>
      </c>
      <c r="G11" s="191">
        <v>73</v>
      </c>
      <c r="H11" s="189"/>
      <c r="I11" s="189" t="b">
        <f t="shared" si="0"/>
        <v>1</v>
      </c>
      <c r="J11" s="192">
        <f>COUNTIF(FRACTURE_TIMELINE!ServiceCode,A11)</f>
        <v>1</v>
      </c>
    </row>
    <row r="12" spans="1:10" s="23" customFormat="1" x14ac:dyDescent="0.25">
      <c r="A12" s="189">
        <v>16</v>
      </c>
      <c r="B12" s="190" t="s">
        <v>400</v>
      </c>
      <c r="C12" s="190">
        <v>97001</v>
      </c>
      <c r="D12" s="189" t="s">
        <v>161</v>
      </c>
      <c r="E12" s="210" t="s">
        <v>249</v>
      </c>
      <c r="F12" s="197" t="s">
        <v>172</v>
      </c>
      <c r="G12" s="191">
        <v>75</v>
      </c>
      <c r="H12" s="189"/>
      <c r="I12" s="189" t="b">
        <f t="shared" si="0"/>
        <v>1</v>
      </c>
      <c r="J12" s="192">
        <f>COUNTIF(FRACTURE_TIMELINE!ServiceCode,A12)</f>
        <v>1</v>
      </c>
    </row>
    <row r="13" spans="1:10" s="23" customFormat="1" ht="60" x14ac:dyDescent="0.25">
      <c r="A13" s="189">
        <v>17</v>
      </c>
      <c r="B13" s="190" t="s">
        <v>400</v>
      </c>
      <c r="C13" s="190">
        <v>97110</v>
      </c>
      <c r="D13" s="189" t="s">
        <v>161</v>
      </c>
      <c r="E13" s="210" t="s">
        <v>249</v>
      </c>
      <c r="F13" s="197" t="s">
        <v>173</v>
      </c>
      <c r="G13" s="191">
        <v>46.92</v>
      </c>
      <c r="H13" s="189"/>
      <c r="I13" s="189" t="b">
        <f t="shared" si="0"/>
        <v>1</v>
      </c>
      <c r="J13" s="192">
        <f>COUNTIF(FRACTURE_TIMELINE!ServiceCode,A13)</f>
        <v>3</v>
      </c>
    </row>
    <row r="14" spans="1:10" s="23" customFormat="1" ht="30" x14ac:dyDescent="0.25">
      <c r="A14" s="189">
        <v>18</v>
      </c>
      <c r="B14" s="190"/>
      <c r="C14" s="190" t="s">
        <v>309</v>
      </c>
      <c r="D14" s="189" t="s">
        <v>159</v>
      </c>
      <c r="E14" s="210" t="s">
        <v>248</v>
      </c>
      <c r="F14" s="197" t="s">
        <v>310</v>
      </c>
      <c r="G14" s="191">
        <v>516.6</v>
      </c>
      <c r="H14" s="189"/>
      <c r="I14" s="189" t="b">
        <f t="shared" si="0"/>
        <v>1</v>
      </c>
      <c r="J14" s="192">
        <f>COUNTIF(FRACTURE_TIMELINE!ServiceCode,A14)</f>
        <v>1</v>
      </c>
    </row>
    <row r="15" spans="1:10" s="23" customFormat="1" ht="45" x14ac:dyDescent="0.25">
      <c r="A15" s="189">
        <v>19</v>
      </c>
      <c r="B15" s="190"/>
      <c r="C15" s="190" t="s">
        <v>311</v>
      </c>
      <c r="D15" s="189" t="s">
        <v>160</v>
      </c>
      <c r="E15" s="210" t="s">
        <v>43</v>
      </c>
      <c r="F15" s="197" t="s">
        <v>312</v>
      </c>
      <c r="G15" s="191">
        <v>162</v>
      </c>
      <c r="H15" s="189"/>
      <c r="I15" s="189" t="b">
        <f t="shared" si="0"/>
        <v>1</v>
      </c>
      <c r="J15" s="192">
        <f>COUNTIF(FRACTURE_TIMELINE!ServiceCode,A15)</f>
        <v>1</v>
      </c>
    </row>
  </sheetData>
  <dataValidations count="1">
    <dataValidation type="list" allowBlank="1" showInputMessage="1" showErrorMessage="1" sqref="E2:E15">
      <formula1>BenefitCategoryList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EP10"/>
  <sheetViews>
    <sheetView workbookViewId="0"/>
  </sheetViews>
  <sheetFormatPr defaultColWidth="9.140625" defaultRowHeight="15" x14ac:dyDescent="0.25"/>
  <cols>
    <col min="1" max="1" width="20.7109375" style="5" customWidth="1"/>
    <col min="2" max="5" width="15.7109375" style="5" customWidth="1"/>
    <col min="6" max="6" width="12.7109375" style="5" customWidth="1"/>
    <col min="7" max="7" width="30.7109375" style="5" customWidth="1"/>
    <col min="8" max="8" width="18.7109375" style="5" customWidth="1"/>
    <col min="9" max="10" width="12.7109375" style="5" customWidth="1"/>
    <col min="11" max="12" width="14.7109375" style="5" customWidth="1"/>
    <col min="13" max="13" width="17.7109375" style="5" customWidth="1"/>
    <col min="14" max="14" width="30.7109375" style="5" customWidth="1"/>
    <col min="15" max="15" width="18.7109375" style="5" customWidth="1"/>
    <col min="16" max="17" width="12.7109375" style="5" customWidth="1"/>
    <col min="18" max="19" width="14.7109375" style="5" customWidth="1"/>
    <col min="20" max="20" width="17.7109375" style="5" customWidth="1"/>
    <col min="21" max="21" width="30.7109375" style="5" customWidth="1"/>
    <col min="22" max="22" width="18.7109375" style="5" customWidth="1"/>
    <col min="23" max="24" width="12.7109375" style="5" customWidth="1"/>
    <col min="25" max="26" width="14.7109375" style="5" customWidth="1"/>
    <col min="27" max="27" width="17.7109375" style="5" customWidth="1"/>
    <col min="28" max="28" width="30.7109375" style="5" customWidth="1"/>
    <col min="29" max="29" width="18.7109375" style="5" customWidth="1"/>
    <col min="30" max="31" width="12.7109375" style="5" customWidth="1"/>
    <col min="32" max="33" width="14.7109375" style="5" customWidth="1"/>
    <col min="34" max="34" width="17.7109375" style="5" customWidth="1"/>
    <col min="35" max="35" width="30.7109375" style="5" customWidth="1"/>
    <col min="36" max="36" width="18.7109375" style="5" customWidth="1"/>
    <col min="37" max="38" width="12.7109375" style="5" customWidth="1"/>
    <col min="39" max="40" width="14.7109375" style="5" customWidth="1"/>
    <col min="41" max="41" width="17.7109375" style="5" customWidth="1"/>
    <col min="42" max="42" width="30.7109375" style="5" customWidth="1"/>
    <col min="43" max="43" width="18.7109375" style="5" customWidth="1"/>
    <col min="44" max="45" width="12.7109375" style="5" customWidth="1"/>
    <col min="46" max="47" width="14.7109375" style="5" customWidth="1"/>
    <col min="48" max="48" width="17.7109375" style="5" customWidth="1"/>
    <col min="49" max="49" width="30.7109375" style="5" customWidth="1"/>
    <col min="50" max="50" width="18.7109375" style="5" customWidth="1"/>
    <col min="51" max="52" width="12.7109375" style="5" customWidth="1"/>
    <col min="53" max="54" width="14.7109375" style="5" customWidth="1"/>
    <col min="55" max="55" width="17.7109375" style="5" customWidth="1"/>
    <col min="56" max="56" width="30.7109375" style="5" customWidth="1"/>
    <col min="57" max="57" width="18.7109375" style="5" customWidth="1"/>
    <col min="58" max="59" width="12.7109375" style="5" customWidth="1"/>
    <col min="60" max="61" width="14.7109375" style="5" customWidth="1"/>
    <col min="62" max="62" width="17.7109375" style="5" customWidth="1"/>
    <col min="63" max="63" width="30.7109375" style="5" customWidth="1"/>
    <col min="64" max="64" width="18.7109375" style="5" customWidth="1"/>
    <col min="65" max="66" width="12.7109375" style="5" customWidth="1"/>
    <col min="67" max="68" width="14.7109375" style="5" customWidth="1"/>
    <col min="69" max="69" width="17.7109375" style="5" customWidth="1"/>
    <col min="70" max="70" width="30.7109375" style="5" customWidth="1"/>
    <col min="71" max="71" width="18.7109375" style="5" customWidth="1"/>
    <col min="72" max="73" width="12.7109375" style="5" customWidth="1"/>
    <col min="74" max="75" width="14.7109375" style="5" customWidth="1"/>
    <col min="76" max="76" width="17.7109375" style="5" customWidth="1"/>
    <col min="77" max="77" width="30.7109375" style="5" customWidth="1"/>
    <col min="78" max="78" width="18.7109375" style="5" customWidth="1"/>
    <col min="79" max="80" width="12.7109375" style="5" customWidth="1"/>
    <col min="81" max="82" width="14.7109375" style="5" customWidth="1"/>
    <col min="83" max="83" width="17.7109375" style="5" customWidth="1"/>
    <col min="84" max="84" width="30.7109375" style="5" customWidth="1"/>
    <col min="85" max="85" width="18.7109375" style="5" customWidth="1"/>
    <col min="86" max="87" width="12.7109375" style="5" customWidth="1"/>
    <col min="88" max="89" width="14.7109375" style="5" customWidth="1"/>
    <col min="90" max="90" width="17.7109375" style="5" customWidth="1"/>
    <col min="91" max="91" width="30.7109375" style="5" customWidth="1"/>
    <col min="92" max="92" width="18.7109375" style="5" customWidth="1"/>
    <col min="93" max="94" width="12.7109375" style="5" customWidth="1"/>
    <col min="95" max="96" width="14.7109375" style="5" customWidth="1"/>
    <col min="97" max="97" width="17.7109375" style="5" customWidth="1"/>
    <col min="98" max="98" width="30.7109375" style="5" customWidth="1"/>
    <col min="99" max="99" width="18.7109375" style="5" customWidth="1"/>
    <col min="100" max="101" width="12.7109375" style="5" customWidth="1"/>
    <col min="102" max="103" width="14.7109375" style="5" customWidth="1"/>
    <col min="104" max="104" width="17.7109375" style="5" customWidth="1"/>
    <col min="105" max="105" width="30.7109375" style="5" customWidth="1"/>
    <col min="106" max="106" width="18.7109375" style="5" customWidth="1"/>
    <col min="107" max="108" width="12.7109375" style="5" customWidth="1"/>
    <col min="109" max="110" width="14.7109375" style="5" customWidth="1"/>
    <col min="111" max="111" width="17.7109375" style="5" customWidth="1"/>
    <col min="112" max="112" width="30.7109375" style="5" customWidth="1"/>
    <col min="113" max="113" width="18.7109375" style="5" customWidth="1"/>
    <col min="114" max="115" width="12.7109375" style="5" customWidth="1"/>
    <col min="116" max="117" width="14.7109375" style="5" customWidth="1"/>
    <col min="118" max="118" width="17.7109375" style="5" customWidth="1"/>
    <col min="119" max="119" width="30.7109375" style="5" customWidth="1"/>
    <col min="120" max="120" width="18.7109375" style="5" customWidth="1"/>
    <col min="121" max="122" width="12.7109375" style="5" customWidth="1"/>
    <col min="123" max="124" width="14.7109375" style="5" customWidth="1"/>
    <col min="125" max="125" width="17.7109375" style="5" customWidth="1"/>
    <col min="126" max="126" width="30.7109375" style="5" customWidth="1"/>
    <col min="127" max="127" width="18.7109375" style="5" customWidth="1"/>
    <col min="128" max="129" width="12.7109375" style="5" customWidth="1"/>
    <col min="130" max="131" width="14.7109375" style="5" customWidth="1"/>
    <col min="132" max="132" width="17.7109375" style="5" customWidth="1"/>
    <col min="133" max="133" width="30.7109375" style="5" customWidth="1"/>
    <col min="134" max="134" width="18.7109375" style="5" customWidth="1"/>
    <col min="135" max="136" width="12.7109375" style="5" customWidth="1"/>
    <col min="137" max="138" width="14.7109375" style="5" customWidth="1"/>
    <col min="139" max="139" width="17.7109375" style="5" customWidth="1"/>
    <col min="140" max="140" width="30.7109375" style="5" customWidth="1"/>
    <col min="141" max="141" width="18.7109375" style="5" customWidth="1"/>
    <col min="142" max="143" width="12.7109375" style="5" customWidth="1"/>
    <col min="144" max="145" width="14.7109375" style="5" customWidth="1"/>
    <col min="146" max="146" width="17.7109375" style="5" customWidth="1"/>
    <col min="147" max="16384" width="9.140625" style="5"/>
  </cols>
  <sheetData>
    <row r="1" spans="1:146" s="122" customFormat="1" x14ac:dyDescent="0.25"/>
    <row r="2" spans="1:146" s="122" customFormat="1" x14ac:dyDescent="0.25">
      <c r="B2" s="122" t="s">
        <v>200</v>
      </c>
    </row>
    <row r="3" spans="1:146" s="122" customFormat="1" x14ac:dyDescent="0.25">
      <c r="B3" s="122" t="s">
        <v>227</v>
      </c>
    </row>
    <row r="4" spans="1:146" s="122" customFormat="1" x14ac:dyDescent="0.25"/>
    <row r="5" spans="1:146" s="122" customFormat="1" x14ac:dyDescent="0.25"/>
    <row r="6" spans="1:146" s="121" customFormat="1" x14ac:dyDescent="0.25">
      <c r="G6" s="121" t="str">
        <f>INDEX(BenefitCategoryList,(COLUMN(G5)+2)/7+1)</f>
        <v>Inpatient Hospital Care (Facility)</v>
      </c>
      <c r="N6" s="121" t="str">
        <f>INDEX(BenefitCategoryList,(COLUMN(N5)+2)/7+1)</f>
        <v>Other Facility Services</v>
      </c>
      <c r="U6" s="121" t="str">
        <f>INDEX(BenefitCategoryList,(COLUMN(U5)+2)/7+1)</f>
        <v>Emergency Department (Facility)</v>
      </c>
      <c r="AB6" s="121" t="str">
        <f>INDEX(BenefitCategoryList,(COLUMN(AB5)+2)/7+1)</f>
        <v>Ambulance</v>
      </c>
      <c r="AI6" s="121" t="str">
        <f>INDEX(BenefitCategoryList,(COLUMN(AI5)+2)/7+1)</f>
        <v>Professional Services: Primary Care</v>
      </c>
      <c r="AP6" s="121" t="str">
        <f>INDEX(BenefitCategoryList,(COLUMN(AP5)+2)/7+1)</f>
        <v>Professional Services: Emergency Department</v>
      </c>
      <c r="AW6" s="121" t="str">
        <f>INDEX(BenefitCategoryList,(COLUMN(AW5)+2)/7+1)</f>
        <v>Professional Services: Specialist</v>
      </c>
      <c r="BD6" s="121" t="str">
        <f>INDEX(BenefitCategoryList,(COLUMN(BD5)+2)/7+1)</f>
        <v>Professional Services: Obstetric Care (Bundled)</v>
      </c>
      <c r="BK6" s="121" t="str">
        <f>INDEX(BenefitCategoryList,(COLUMN(BK5)+2)/7+1)</f>
        <v>Professional Services: Procedures &amp; Other</v>
      </c>
      <c r="BR6" s="121" t="str">
        <f>INDEX(BenefitCategoryList,(COLUMN(BR5)+2)/7+1)</f>
        <v>Professional Services: Physical Therapy</v>
      </c>
      <c r="BY6" s="121" t="str">
        <f>INDEX(BenefitCategoryList,(COLUMN(BY5)+2)/7+1)</f>
        <v>Diagnostic Services: Radiology</v>
      </c>
      <c r="CF6" s="121" t="str">
        <f>INDEX(BenefitCategoryList,(COLUMN(CF5)+2)/7+1)</f>
        <v>Diagnostic Services: Laboratory</v>
      </c>
      <c r="CM6" s="121" t="str">
        <f>INDEX(BenefitCategoryList,(COLUMN(CM5)+2)/7+1)</f>
        <v>Prescription Drugs: Generic</v>
      </c>
      <c r="CT6" s="121" t="str">
        <f>INDEX(BenefitCategoryList,(COLUMN(CT5)+2)/7+1)</f>
        <v>Prescription Drugs: Branded</v>
      </c>
      <c r="DA6" s="121" t="str">
        <f>INDEX(BenefitCategoryList,(COLUMN(DA5)+2)/7+1)</f>
        <v>Over-the-counter Drugs</v>
      </c>
      <c r="DH6" s="121" t="str">
        <f>INDEX(BenefitCategoryList,(COLUMN(DH5)+2)/7+1)</f>
        <v>Preventive Services &amp; Vaccines</v>
      </c>
      <c r="DO6" s="121" t="str">
        <f>INDEX(BenefitCategoryList,(COLUMN(DO5)+2)/7+1)</f>
        <v>Durable Medical Equipment</v>
      </c>
      <c r="DV6" s="121" t="str">
        <f>INDEX(BenefitCategoryList,(COLUMN(DV5)+2)/7+1)</f>
        <v>Medical Supplies</v>
      </c>
      <c r="EC6" s="121" t="str">
        <f>INDEX(BenefitCategoryList,(COLUMN(EC5)+2)/7+1)</f>
        <v>Over-the-counter Medical Supplies</v>
      </c>
      <c r="EJ6" s="121" t="str">
        <f>INDEX(BenefitCategoryList,(COLUMN(EJ5)+2)/7+1)</f>
        <v>Other Items &amp; Services</v>
      </c>
    </row>
    <row r="7" spans="1:146" s="121" customFormat="1" x14ac:dyDescent="0.25">
      <c r="A7" s="121" t="s">
        <v>174</v>
      </c>
      <c r="B7" s="121" t="s">
        <v>2</v>
      </c>
      <c r="C7" s="121" t="s">
        <v>192</v>
      </c>
      <c r="D7" s="121" t="s">
        <v>272</v>
      </c>
      <c r="E7" s="121" t="s">
        <v>271</v>
      </c>
      <c r="F7" s="121" t="s">
        <v>5</v>
      </c>
      <c r="G7" s="121" t="s">
        <v>191</v>
      </c>
      <c r="H7" s="121" t="s">
        <v>144</v>
      </c>
      <c r="I7" s="121" t="s">
        <v>4</v>
      </c>
      <c r="J7" s="121" t="s">
        <v>11</v>
      </c>
      <c r="K7" s="121" t="s">
        <v>181</v>
      </c>
      <c r="L7" s="121" t="s">
        <v>182</v>
      </c>
      <c r="M7" s="121" t="s">
        <v>183</v>
      </c>
      <c r="N7" s="121" t="s">
        <v>191</v>
      </c>
      <c r="O7" s="121" t="s">
        <v>144</v>
      </c>
      <c r="P7" s="121" t="s">
        <v>4</v>
      </c>
      <c r="Q7" s="121" t="s">
        <v>11</v>
      </c>
      <c r="R7" s="121" t="s">
        <v>181</v>
      </c>
      <c r="S7" s="121" t="s">
        <v>182</v>
      </c>
      <c r="T7" s="121" t="s">
        <v>183</v>
      </c>
      <c r="U7" s="121" t="s">
        <v>191</v>
      </c>
      <c r="V7" s="121" t="s">
        <v>144</v>
      </c>
      <c r="W7" s="121" t="s">
        <v>4</v>
      </c>
      <c r="X7" s="121" t="s">
        <v>11</v>
      </c>
      <c r="Y7" s="121" t="s">
        <v>181</v>
      </c>
      <c r="Z7" s="121" t="s">
        <v>182</v>
      </c>
      <c r="AA7" s="121" t="s">
        <v>183</v>
      </c>
      <c r="AB7" s="121" t="s">
        <v>191</v>
      </c>
      <c r="AC7" s="121" t="s">
        <v>144</v>
      </c>
      <c r="AD7" s="121" t="s">
        <v>4</v>
      </c>
      <c r="AE7" s="121" t="s">
        <v>11</v>
      </c>
      <c r="AF7" s="121" t="s">
        <v>181</v>
      </c>
      <c r="AG7" s="121" t="s">
        <v>182</v>
      </c>
      <c r="AH7" s="121" t="s">
        <v>183</v>
      </c>
      <c r="AI7" s="121" t="s">
        <v>191</v>
      </c>
      <c r="AJ7" s="121" t="s">
        <v>144</v>
      </c>
      <c r="AK7" s="121" t="s">
        <v>4</v>
      </c>
      <c r="AL7" s="121" t="s">
        <v>11</v>
      </c>
      <c r="AM7" s="121" t="s">
        <v>181</v>
      </c>
      <c r="AN7" s="121" t="s">
        <v>182</v>
      </c>
      <c r="AO7" s="121" t="s">
        <v>183</v>
      </c>
      <c r="AP7" s="121" t="s">
        <v>191</v>
      </c>
      <c r="AQ7" s="121" t="s">
        <v>144</v>
      </c>
      <c r="AR7" s="121" t="s">
        <v>4</v>
      </c>
      <c r="AS7" s="121" t="s">
        <v>11</v>
      </c>
      <c r="AT7" s="121" t="s">
        <v>181</v>
      </c>
      <c r="AU7" s="121" t="s">
        <v>182</v>
      </c>
      <c r="AV7" s="121" t="s">
        <v>183</v>
      </c>
      <c r="AW7" s="121" t="s">
        <v>191</v>
      </c>
      <c r="AX7" s="121" t="s">
        <v>144</v>
      </c>
      <c r="AY7" s="121" t="s">
        <v>4</v>
      </c>
      <c r="AZ7" s="121" t="s">
        <v>11</v>
      </c>
      <c r="BA7" s="121" t="s">
        <v>181</v>
      </c>
      <c r="BB7" s="121" t="s">
        <v>182</v>
      </c>
      <c r="BC7" s="121" t="s">
        <v>183</v>
      </c>
      <c r="BD7" s="121" t="s">
        <v>191</v>
      </c>
      <c r="BE7" s="121" t="s">
        <v>144</v>
      </c>
      <c r="BF7" s="121" t="s">
        <v>4</v>
      </c>
      <c r="BG7" s="121" t="s">
        <v>11</v>
      </c>
      <c r="BH7" s="121" t="s">
        <v>181</v>
      </c>
      <c r="BI7" s="121" t="s">
        <v>182</v>
      </c>
      <c r="BJ7" s="121" t="s">
        <v>183</v>
      </c>
      <c r="BK7" s="121" t="s">
        <v>191</v>
      </c>
      <c r="BL7" s="121" t="s">
        <v>144</v>
      </c>
      <c r="BM7" s="121" t="s">
        <v>4</v>
      </c>
      <c r="BN7" s="121" t="s">
        <v>11</v>
      </c>
      <c r="BO7" s="121" t="s">
        <v>181</v>
      </c>
      <c r="BP7" s="121" t="s">
        <v>182</v>
      </c>
      <c r="BQ7" s="121" t="s">
        <v>183</v>
      </c>
      <c r="BR7" s="121" t="s">
        <v>191</v>
      </c>
      <c r="BS7" s="121" t="s">
        <v>144</v>
      </c>
      <c r="BT7" s="121" t="s">
        <v>4</v>
      </c>
      <c r="BU7" s="121" t="s">
        <v>11</v>
      </c>
      <c r="BV7" s="121" t="s">
        <v>181</v>
      </c>
      <c r="BW7" s="121" t="s">
        <v>182</v>
      </c>
      <c r="BX7" s="121" t="s">
        <v>183</v>
      </c>
      <c r="BY7" s="121" t="s">
        <v>191</v>
      </c>
      <c r="BZ7" s="121" t="s">
        <v>144</v>
      </c>
      <c r="CA7" s="121" t="s">
        <v>4</v>
      </c>
      <c r="CB7" s="121" t="s">
        <v>11</v>
      </c>
      <c r="CC7" s="121" t="s">
        <v>181</v>
      </c>
      <c r="CD7" s="121" t="s">
        <v>182</v>
      </c>
      <c r="CE7" s="121" t="s">
        <v>183</v>
      </c>
      <c r="CF7" s="121" t="s">
        <v>191</v>
      </c>
      <c r="CG7" s="121" t="s">
        <v>144</v>
      </c>
      <c r="CH7" s="121" t="s">
        <v>4</v>
      </c>
      <c r="CI7" s="121" t="s">
        <v>11</v>
      </c>
      <c r="CJ7" s="121" t="s">
        <v>181</v>
      </c>
      <c r="CK7" s="121" t="s">
        <v>182</v>
      </c>
      <c r="CL7" s="121" t="s">
        <v>183</v>
      </c>
      <c r="CM7" s="121" t="s">
        <v>191</v>
      </c>
      <c r="CN7" s="121" t="s">
        <v>144</v>
      </c>
      <c r="CO7" s="121" t="s">
        <v>4</v>
      </c>
      <c r="CP7" s="121" t="s">
        <v>11</v>
      </c>
      <c r="CQ7" s="121" t="s">
        <v>181</v>
      </c>
      <c r="CR7" s="121" t="s">
        <v>182</v>
      </c>
      <c r="CS7" s="121" t="s">
        <v>183</v>
      </c>
      <c r="CT7" s="121" t="s">
        <v>191</v>
      </c>
      <c r="CU7" s="121" t="s">
        <v>144</v>
      </c>
      <c r="CV7" s="121" t="s">
        <v>4</v>
      </c>
      <c r="CW7" s="121" t="s">
        <v>11</v>
      </c>
      <c r="CX7" s="121" t="s">
        <v>181</v>
      </c>
      <c r="CY7" s="121" t="s">
        <v>182</v>
      </c>
      <c r="CZ7" s="121" t="s">
        <v>183</v>
      </c>
      <c r="DA7" s="121" t="s">
        <v>191</v>
      </c>
      <c r="DB7" s="121" t="s">
        <v>144</v>
      </c>
      <c r="DC7" s="121" t="s">
        <v>4</v>
      </c>
      <c r="DD7" s="121" t="s">
        <v>11</v>
      </c>
      <c r="DE7" s="121" t="s">
        <v>181</v>
      </c>
      <c r="DF7" s="121" t="s">
        <v>182</v>
      </c>
      <c r="DG7" s="121" t="s">
        <v>183</v>
      </c>
      <c r="DH7" s="121" t="s">
        <v>191</v>
      </c>
      <c r="DI7" s="121" t="s">
        <v>144</v>
      </c>
      <c r="DJ7" s="121" t="s">
        <v>4</v>
      </c>
      <c r="DK7" s="121" t="s">
        <v>11</v>
      </c>
      <c r="DL7" s="121" t="s">
        <v>181</v>
      </c>
      <c r="DM7" s="121" t="s">
        <v>182</v>
      </c>
      <c r="DN7" s="121" t="s">
        <v>183</v>
      </c>
      <c r="DO7" s="121" t="s">
        <v>191</v>
      </c>
      <c r="DP7" s="121" t="s">
        <v>144</v>
      </c>
      <c r="DQ7" s="121" t="s">
        <v>4</v>
      </c>
      <c r="DR7" s="121" t="s">
        <v>11</v>
      </c>
      <c r="DS7" s="121" t="s">
        <v>181</v>
      </c>
      <c r="DT7" s="121" t="s">
        <v>182</v>
      </c>
      <c r="DU7" s="121" t="s">
        <v>183</v>
      </c>
      <c r="DV7" s="121" t="s">
        <v>191</v>
      </c>
      <c r="DW7" s="121" t="s">
        <v>144</v>
      </c>
      <c r="DX7" s="121" t="s">
        <v>4</v>
      </c>
      <c r="DY7" s="121" t="s">
        <v>11</v>
      </c>
      <c r="DZ7" s="121" t="s">
        <v>181</v>
      </c>
      <c r="EA7" s="121" t="s">
        <v>182</v>
      </c>
      <c r="EB7" s="121" t="s">
        <v>183</v>
      </c>
      <c r="EC7" s="121" t="s">
        <v>191</v>
      </c>
      <c r="ED7" s="121" t="s">
        <v>144</v>
      </c>
      <c r="EE7" s="121" t="s">
        <v>4</v>
      </c>
      <c r="EF7" s="121" t="s">
        <v>11</v>
      </c>
      <c r="EG7" s="121" t="s">
        <v>181</v>
      </c>
      <c r="EH7" s="121" t="s">
        <v>182</v>
      </c>
      <c r="EI7" s="121" t="s">
        <v>183</v>
      </c>
      <c r="EJ7" s="121" t="s">
        <v>191</v>
      </c>
      <c r="EK7" s="121" t="s">
        <v>144</v>
      </c>
      <c r="EL7" s="121" t="s">
        <v>4</v>
      </c>
      <c r="EM7" s="121" t="s">
        <v>11</v>
      </c>
      <c r="EN7" s="121" t="s">
        <v>181</v>
      </c>
      <c r="EO7" s="121" t="s">
        <v>182</v>
      </c>
      <c r="EP7" s="121" t="s">
        <v>183</v>
      </c>
    </row>
    <row r="8" spans="1:146" customFormat="1" x14ac:dyDescent="0.25">
      <c r="A8" t="s">
        <v>210</v>
      </c>
      <c r="B8" s="110"/>
      <c r="F8" s="110"/>
      <c r="G8" t="s">
        <v>16</v>
      </c>
      <c r="N8" t="s">
        <v>16</v>
      </c>
      <c r="P8" s="110"/>
      <c r="U8" s="110" t="s">
        <v>16</v>
      </c>
      <c r="W8" s="110"/>
      <c r="AB8" s="110" t="s">
        <v>16</v>
      </c>
      <c r="AD8" s="110"/>
      <c r="AI8" s="110" t="s">
        <v>16</v>
      </c>
      <c r="AK8" s="110"/>
      <c r="AP8" t="s">
        <v>16</v>
      </c>
      <c r="AW8" t="s">
        <v>16</v>
      </c>
      <c r="BD8" s="110" t="s">
        <v>16</v>
      </c>
      <c r="BE8" s="110"/>
      <c r="BF8" s="110"/>
      <c r="BK8" t="s">
        <v>16</v>
      </c>
      <c r="BL8" s="110"/>
      <c r="BM8" s="110"/>
      <c r="BR8" t="s">
        <v>16</v>
      </c>
      <c r="BX8" s="110"/>
      <c r="BY8" s="110" t="s">
        <v>16</v>
      </c>
      <c r="CE8" s="110"/>
      <c r="CF8" s="110" t="s">
        <v>16</v>
      </c>
      <c r="CM8" t="s">
        <v>16</v>
      </c>
      <c r="CT8" t="s">
        <v>16</v>
      </c>
      <c r="DA8" t="s">
        <v>16</v>
      </c>
      <c r="DH8" t="s">
        <v>16</v>
      </c>
      <c r="DO8" t="s">
        <v>16</v>
      </c>
      <c r="DV8" t="s">
        <v>16</v>
      </c>
      <c r="EC8" t="s">
        <v>16</v>
      </c>
      <c r="EJ8" t="s">
        <v>16</v>
      </c>
    </row>
    <row r="9" spans="1:146" customFormat="1" x14ac:dyDescent="0.25">
      <c r="A9" t="s">
        <v>235</v>
      </c>
      <c r="B9" s="110">
        <v>1000</v>
      </c>
      <c r="F9" s="110">
        <v>5000</v>
      </c>
      <c r="G9" t="s">
        <v>153</v>
      </c>
      <c r="K9" t="s">
        <v>252</v>
      </c>
      <c r="L9" t="s">
        <v>252</v>
      </c>
      <c r="M9" t="s">
        <v>251</v>
      </c>
      <c r="N9" t="s">
        <v>153</v>
      </c>
      <c r="P9" s="110"/>
      <c r="R9" t="s">
        <v>252</v>
      </c>
      <c r="S9" t="s">
        <v>252</v>
      </c>
      <c r="T9" t="s">
        <v>251</v>
      </c>
      <c r="U9" t="s">
        <v>153</v>
      </c>
      <c r="W9" s="110"/>
      <c r="Y9" t="s">
        <v>252</v>
      </c>
      <c r="Z9" t="s">
        <v>252</v>
      </c>
      <c r="AA9" t="s">
        <v>251</v>
      </c>
      <c r="AB9" t="s">
        <v>153</v>
      </c>
      <c r="AD9" s="110"/>
      <c r="AF9" t="s">
        <v>252</v>
      </c>
      <c r="AG9" t="s">
        <v>252</v>
      </c>
      <c r="AH9" t="s">
        <v>251</v>
      </c>
      <c r="AI9" t="s">
        <v>153</v>
      </c>
      <c r="AK9" s="110"/>
      <c r="AM9" t="s">
        <v>252</v>
      </c>
      <c r="AN9" t="s">
        <v>252</v>
      </c>
      <c r="AO9" t="s">
        <v>251</v>
      </c>
      <c r="AP9" t="s">
        <v>153</v>
      </c>
      <c r="AT9" t="s">
        <v>252</v>
      </c>
      <c r="AU9" t="s">
        <v>252</v>
      </c>
      <c r="AV9" t="s">
        <v>251</v>
      </c>
      <c r="AW9" t="s">
        <v>153</v>
      </c>
      <c r="BA9" t="s">
        <v>252</v>
      </c>
      <c r="BB9" t="s">
        <v>252</v>
      </c>
      <c r="BC9" t="s">
        <v>251</v>
      </c>
      <c r="BD9" t="s">
        <v>153</v>
      </c>
      <c r="BF9" s="110"/>
      <c r="BH9" t="s">
        <v>252</v>
      </c>
      <c r="BI9" t="s">
        <v>252</v>
      </c>
      <c r="BJ9" t="s">
        <v>251</v>
      </c>
      <c r="BK9" t="s">
        <v>153</v>
      </c>
      <c r="BM9" s="110"/>
      <c r="BO9" t="s">
        <v>252</v>
      </c>
      <c r="BP9" t="s">
        <v>252</v>
      </c>
      <c r="BQ9" t="s">
        <v>251</v>
      </c>
      <c r="BR9" t="s">
        <v>153</v>
      </c>
      <c r="BV9" t="s">
        <v>252</v>
      </c>
      <c r="BW9" t="s">
        <v>252</v>
      </c>
      <c r="BX9" t="s">
        <v>251</v>
      </c>
      <c r="BY9" t="s">
        <v>153</v>
      </c>
      <c r="CC9" t="s">
        <v>252</v>
      </c>
      <c r="CD9" t="s">
        <v>252</v>
      </c>
      <c r="CE9" t="s">
        <v>251</v>
      </c>
      <c r="CF9" t="s">
        <v>153</v>
      </c>
      <c r="CJ9" t="s">
        <v>252</v>
      </c>
      <c r="CK9" t="s">
        <v>252</v>
      </c>
      <c r="CL9" t="s">
        <v>251</v>
      </c>
      <c r="CM9" t="s">
        <v>153</v>
      </c>
      <c r="CQ9" t="s">
        <v>252</v>
      </c>
      <c r="CR9" t="s">
        <v>252</v>
      </c>
      <c r="CS9" t="s">
        <v>251</v>
      </c>
      <c r="CT9" t="s">
        <v>153</v>
      </c>
      <c r="CX9" t="s">
        <v>252</v>
      </c>
      <c r="CY9" t="s">
        <v>252</v>
      </c>
      <c r="CZ9" t="s">
        <v>251</v>
      </c>
      <c r="DA9" t="s">
        <v>16</v>
      </c>
      <c r="DH9" t="s">
        <v>152</v>
      </c>
      <c r="DL9" t="s">
        <v>252</v>
      </c>
      <c r="DM9" t="s">
        <v>252</v>
      </c>
      <c r="DN9" t="s">
        <v>251</v>
      </c>
      <c r="DO9" t="s">
        <v>153</v>
      </c>
      <c r="DS9" t="s">
        <v>252</v>
      </c>
      <c r="DT9" t="s">
        <v>252</v>
      </c>
      <c r="DU9" t="s">
        <v>251</v>
      </c>
      <c r="DV9" t="s">
        <v>153</v>
      </c>
      <c r="DZ9" t="s">
        <v>252</v>
      </c>
      <c r="EA9" t="s">
        <v>252</v>
      </c>
      <c r="EB9" t="s">
        <v>251</v>
      </c>
      <c r="EC9" t="s">
        <v>16</v>
      </c>
      <c r="EJ9" t="s">
        <v>16</v>
      </c>
    </row>
    <row r="10" spans="1:146" customFormat="1" x14ac:dyDescent="0.25">
      <c r="A10" t="s">
        <v>368</v>
      </c>
      <c r="B10" s="110">
        <v>1000</v>
      </c>
      <c r="C10" s="110">
        <v>100</v>
      </c>
      <c r="D10" s="110">
        <v>500</v>
      </c>
      <c r="F10" s="110">
        <v>5000</v>
      </c>
      <c r="G10" t="s">
        <v>153</v>
      </c>
      <c r="H10" s="110"/>
      <c r="K10" t="s">
        <v>252</v>
      </c>
      <c r="L10" t="s">
        <v>252</v>
      </c>
      <c r="M10" t="s">
        <v>251</v>
      </c>
      <c r="N10" t="s">
        <v>153</v>
      </c>
      <c r="R10" t="s">
        <v>252</v>
      </c>
      <c r="S10" t="s">
        <v>252</v>
      </c>
      <c r="T10" t="s">
        <v>251</v>
      </c>
      <c r="U10" t="s">
        <v>366</v>
      </c>
      <c r="Y10" t="s">
        <v>252</v>
      </c>
      <c r="Z10" t="s">
        <v>252</v>
      </c>
      <c r="AA10" t="s">
        <v>251</v>
      </c>
      <c r="AB10" t="s">
        <v>366</v>
      </c>
      <c r="AD10" s="110"/>
      <c r="AF10" t="s">
        <v>252</v>
      </c>
      <c r="AG10" t="s">
        <v>252</v>
      </c>
      <c r="AH10" t="s">
        <v>251</v>
      </c>
      <c r="AI10" t="s">
        <v>151</v>
      </c>
      <c r="AK10" s="110">
        <v>30</v>
      </c>
      <c r="AM10" t="s">
        <v>252</v>
      </c>
      <c r="AN10" t="s">
        <v>252</v>
      </c>
      <c r="AO10" t="s">
        <v>251</v>
      </c>
      <c r="AP10" t="s">
        <v>366</v>
      </c>
      <c r="AT10" t="s">
        <v>252</v>
      </c>
      <c r="AU10" t="s">
        <v>252</v>
      </c>
      <c r="AV10" t="s">
        <v>251</v>
      </c>
      <c r="AW10" t="s">
        <v>153</v>
      </c>
      <c r="BA10" t="s">
        <v>252</v>
      </c>
      <c r="BB10" t="s">
        <v>252</v>
      </c>
      <c r="BC10" t="s">
        <v>251</v>
      </c>
      <c r="BD10" t="s">
        <v>153</v>
      </c>
      <c r="BE10" s="110"/>
      <c r="BF10" s="110"/>
      <c r="BH10" t="s">
        <v>252</v>
      </c>
      <c r="BI10" t="s">
        <v>252</v>
      </c>
      <c r="BJ10" t="s">
        <v>251</v>
      </c>
      <c r="BK10" t="s">
        <v>153</v>
      </c>
      <c r="BL10" s="110"/>
      <c r="BM10" s="110"/>
      <c r="BO10" t="s">
        <v>252</v>
      </c>
      <c r="BP10" t="s">
        <v>252</v>
      </c>
      <c r="BQ10" t="s">
        <v>251</v>
      </c>
      <c r="BR10" t="s">
        <v>153</v>
      </c>
      <c r="BT10" s="110"/>
      <c r="BV10" t="s">
        <v>252</v>
      </c>
      <c r="BW10" t="s">
        <v>252</v>
      </c>
      <c r="BX10" t="s">
        <v>251</v>
      </c>
      <c r="BY10" t="s">
        <v>153</v>
      </c>
      <c r="CC10" t="s">
        <v>252</v>
      </c>
      <c r="CD10" t="s">
        <v>252</v>
      </c>
      <c r="CE10" t="s">
        <v>251</v>
      </c>
      <c r="CF10" t="s">
        <v>153</v>
      </c>
      <c r="CJ10" t="s">
        <v>252</v>
      </c>
      <c r="CK10" t="s">
        <v>252</v>
      </c>
      <c r="CL10" t="s">
        <v>251</v>
      </c>
      <c r="CM10" t="s">
        <v>367</v>
      </c>
      <c r="CO10" s="110">
        <v>10</v>
      </c>
      <c r="CQ10" t="s">
        <v>252</v>
      </c>
      <c r="CR10" t="s">
        <v>252</v>
      </c>
      <c r="CS10" t="s">
        <v>251</v>
      </c>
      <c r="CT10" t="s">
        <v>367</v>
      </c>
      <c r="CV10" s="110">
        <v>30</v>
      </c>
      <c r="CX10" t="s">
        <v>252</v>
      </c>
      <c r="CY10" t="s">
        <v>252</v>
      </c>
      <c r="CZ10" t="s">
        <v>251</v>
      </c>
      <c r="DA10" t="s">
        <v>16</v>
      </c>
      <c r="DH10" t="s">
        <v>152</v>
      </c>
      <c r="DL10" t="s">
        <v>252</v>
      </c>
      <c r="DM10" t="s">
        <v>252</v>
      </c>
      <c r="DN10" t="s">
        <v>251</v>
      </c>
      <c r="DO10" t="s">
        <v>153</v>
      </c>
      <c r="DS10" t="s">
        <v>252</v>
      </c>
      <c r="DT10" t="s">
        <v>252</v>
      </c>
      <c r="DU10" t="s">
        <v>251</v>
      </c>
      <c r="DV10" t="s">
        <v>153</v>
      </c>
      <c r="DX10" s="110"/>
      <c r="DZ10" t="s">
        <v>252</v>
      </c>
      <c r="EA10" t="s">
        <v>252</v>
      </c>
      <c r="EB10" t="s">
        <v>251</v>
      </c>
      <c r="EC10" t="s">
        <v>16</v>
      </c>
      <c r="EJ10" t="s">
        <v>16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3" name="Button 1">
              <controlPr defaultSize="0" print="0" autoFill="0" autoPict="0" macro="[0]!ThisWorkbook.MultiPlanModeOutput">
                <anchor moveWithCells="1" sizeWithCells="1">
                  <from>
                    <xdr:col>0</xdr:col>
                    <xdr:colOff>104775</xdr:colOff>
                    <xdr:row>0</xdr:row>
                    <xdr:rowOff>152400</xdr:rowOff>
                  </from>
                  <to>
                    <xdr:col>0</xdr:col>
                    <xdr:colOff>1247775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S27"/>
  <sheetViews>
    <sheetView workbookViewId="0"/>
  </sheetViews>
  <sheetFormatPr defaultRowHeight="15" x14ac:dyDescent="0.25"/>
  <cols>
    <col min="1" max="1" width="20.7109375" customWidth="1"/>
    <col min="2" max="2" width="11.140625" bestFit="1" customWidth="1"/>
    <col min="3" max="3" width="17.28515625" bestFit="1" customWidth="1"/>
    <col min="4" max="5" width="18.85546875" bestFit="1" customWidth="1"/>
    <col min="6" max="6" width="18.42578125" bestFit="1" customWidth="1"/>
    <col min="7" max="7" width="16.85546875" bestFit="1" customWidth="1"/>
    <col min="8" max="8" width="11.140625" bestFit="1" customWidth="1"/>
    <col min="9" max="9" width="17.28515625" bestFit="1" customWidth="1"/>
    <col min="10" max="11" width="18.85546875" bestFit="1" customWidth="1"/>
    <col min="12" max="12" width="18.42578125" bestFit="1" customWidth="1"/>
    <col min="13" max="13" width="16.85546875" bestFit="1" customWidth="1"/>
    <col min="14" max="14" width="11.140625" bestFit="1" customWidth="1"/>
    <col min="15" max="15" width="17.28515625" bestFit="1" customWidth="1"/>
    <col min="16" max="17" width="18.85546875" bestFit="1" customWidth="1"/>
    <col min="18" max="18" width="18.42578125" bestFit="1" customWidth="1"/>
    <col min="19" max="19" width="16.85546875" bestFit="1" customWidth="1"/>
  </cols>
  <sheetData>
    <row r="1" spans="1:19" s="122" customFormat="1" x14ac:dyDescent="0.25"/>
    <row r="2" spans="1:19" s="122" customFormat="1" x14ac:dyDescent="0.25">
      <c r="B2" s="122" t="s">
        <v>207</v>
      </c>
    </row>
    <row r="3" spans="1:19" s="128" customFormat="1" x14ac:dyDescent="0.25">
      <c r="B3" s="134" t="s">
        <v>208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19" s="128" customFormat="1" x14ac:dyDescent="0.25">
      <c r="B4" s="134" t="s">
        <v>209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19" s="122" customFormat="1" x14ac:dyDescent="0.25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s="121" customFormat="1" x14ac:dyDescent="0.25">
      <c r="B6" s="135" t="s">
        <v>232</v>
      </c>
      <c r="C6" s="135"/>
      <c r="D6" s="135"/>
      <c r="E6" s="135"/>
      <c r="F6" s="135"/>
      <c r="G6" s="135"/>
      <c r="H6" s="135" t="s">
        <v>396</v>
      </c>
      <c r="I6" s="135"/>
      <c r="J6" s="135"/>
      <c r="K6" s="135"/>
      <c r="L6" s="135"/>
      <c r="M6" s="135"/>
      <c r="N6" s="135" t="s">
        <v>234</v>
      </c>
      <c r="O6" s="135"/>
      <c r="P6" s="135"/>
      <c r="Q6" s="135"/>
      <c r="R6" s="135"/>
      <c r="S6" s="135"/>
    </row>
    <row r="7" spans="1:19" s="121" customFormat="1" x14ac:dyDescent="0.25">
      <c r="A7" s="121" t="s">
        <v>174</v>
      </c>
      <c r="B7" s="135" t="s">
        <v>175</v>
      </c>
      <c r="C7" s="135" t="s">
        <v>180</v>
      </c>
      <c r="D7" s="135" t="s">
        <v>176</v>
      </c>
      <c r="E7" s="135" t="s">
        <v>177</v>
      </c>
      <c r="F7" s="135" t="s">
        <v>178</v>
      </c>
      <c r="G7" s="135" t="s">
        <v>179</v>
      </c>
      <c r="H7" s="135" t="s">
        <v>175</v>
      </c>
      <c r="I7" s="135" t="s">
        <v>180</v>
      </c>
      <c r="J7" s="135" t="s">
        <v>176</v>
      </c>
      <c r="K7" s="135" t="s">
        <v>177</v>
      </c>
      <c r="L7" s="135" t="s">
        <v>178</v>
      </c>
      <c r="M7" s="135" t="s">
        <v>179</v>
      </c>
      <c r="N7" s="135" t="s">
        <v>175</v>
      </c>
      <c r="O7" s="135" t="s">
        <v>180</v>
      </c>
      <c r="P7" s="135" t="s">
        <v>176</v>
      </c>
      <c r="Q7" s="135" t="s">
        <v>177</v>
      </c>
      <c r="R7" s="135" t="s">
        <v>178</v>
      </c>
      <c r="S7" s="135" t="s">
        <v>179</v>
      </c>
    </row>
    <row r="8" spans="1:19" x14ac:dyDescent="0.25">
      <c r="A8" t="s">
        <v>210</v>
      </c>
      <c r="B8" s="110">
        <v>0</v>
      </c>
      <c r="C8" s="110">
        <v>51038.13</v>
      </c>
      <c r="D8" s="110">
        <v>0</v>
      </c>
      <c r="E8" s="110">
        <v>0</v>
      </c>
      <c r="F8" s="110">
        <v>0</v>
      </c>
      <c r="G8" s="110">
        <v>51038.13</v>
      </c>
      <c r="H8" s="110">
        <v>0</v>
      </c>
      <c r="I8" s="110">
        <v>1631.33</v>
      </c>
      <c r="J8" s="110">
        <v>0</v>
      </c>
      <c r="K8" s="110">
        <v>0</v>
      </c>
      <c r="L8" s="110">
        <v>0</v>
      </c>
      <c r="M8" s="110">
        <v>7389.27</v>
      </c>
      <c r="N8" s="110">
        <v>0</v>
      </c>
      <c r="O8" s="110">
        <v>7389.27</v>
      </c>
      <c r="P8" s="110">
        <v>0</v>
      </c>
      <c r="Q8" s="110">
        <v>0</v>
      </c>
      <c r="R8" s="110">
        <v>0</v>
      </c>
      <c r="S8" s="110">
        <v>1631.33</v>
      </c>
    </row>
    <row r="9" spans="1:19" x14ac:dyDescent="0.25">
      <c r="A9" t="s">
        <v>235</v>
      </c>
      <c r="B9" s="110">
        <v>48959.98</v>
      </c>
      <c r="C9" s="110">
        <v>2078.15</v>
      </c>
      <c r="D9" s="110">
        <v>2018.14</v>
      </c>
      <c r="E9" s="110">
        <v>0</v>
      </c>
      <c r="F9" s="110">
        <v>0</v>
      </c>
      <c r="G9" s="110">
        <v>60.02</v>
      </c>
      <c r="H9" s="110">
        <v>6334.01</v>
      </c>
      <c r="I9" s="110">
        <v>592.54999999999995</v>
      </c>
      <c r="J9" s="110">
        <v>1000</v>
      </c>
      <c r="K9" s="110">
        <v>0</v>
      </c>
      <c r="L9" s="110">
        <v>0</v>
      </c>
      <c r="M9" s="110">
        <v>55.26</v>
      </c>
      <c r="N9" s="110">
        <v>1038.78</v>
      </c>
      <c r="O9" s="110">
        <v>1055.26</v>
      </c>
      <c r="P9" s="110">
        <v>592.54999999999995</v>
      </c>
      <c r="Q9" s="110">
        <v>0</v>
      </c>
      <c r="R9" s="110">
        <v>0</v>
      </c>
      <c r="S9" s="110">
        <v>0</v>
      </c>
    </row>
    <row r="10" spans="1:19" x14ac:dyDescent="0.25">
      <c r="A10" t="s">
        <v>368</v>
      </c>
      <c r="B10" s="110">
        <v>48881.84</v>
      </c>
      <c r="C10" s="110">
        <v>2163.39</v>
      </c>
      <c r="D10" s="110">
        <v>2003.38</v>
      </c>
      <c r="E10" s="110">
        <v>100</v>
      </c>
      <c r="F10" s="110">
        <v>0</v>
      </c>
      <c r="G10" s="110">
        <v>60.02</v>
      </c>
      <c r="H10" s="110">
        <v>5564.54</v>
      </c>
      <c r="I10" s="110">
        <v>460.18</v>
      </c>
      <c r="J10" s="110">
        <v>1100</v>
      </c>
      <c r="K10" s="110">
        <v>680</v>
      </c>
      <c r="L10" s="110">
        <v>0</v>
      </c>
      <c r="M10" s="110">
        <v>55.26</v>
      </c>
      <c r="N10" s="110">
        <v>1171.1500000000001</v>
      </c>
      <c r="O10" s="110">
        <v>1835.26</v>
      </c>
      <c r="P10" s="110">
        <v>460.18</v>
      </c>
      <c r="Q10" s="110">
        <v>0</v>
      </c>
      <c r="R10" s="110">
        <v>0</v>
      </c>
      <c r="S10" s="110">
        <v>0</v>
      </c>
    </row>
    <row r="11" spans="1:19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x14ac:dyDescent="0.25"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x14ac:dyDescent="0.25">
      <c r="E13" s="110"/>
      <c r="F13" s="110"/>
      <c r="G13" s="110"/>
      <c r="K13" s="110"/>
      <c r="L13" s="110"/>
      <c r="M13" s="110"/>
      <c r="Q13" s="110"/>
      <c r="R13" s="110"/>
      <c r="S13" s="110"/>
    </row>
    <row r="14" spans="1:19" x14ac:dyDescent="0.25">
      <c r="E14" s="110"/>
      <c r="F14" s="110"/>
      <c r="G14" s="110"/>
      <c r="K14" s="110"/>
      <c r="L14" s="110"/>
      <c r="M14" s="110"/>
      <c r="Q14" s="110"/>
      <c r="R14" s="110"/>
      <c r="S14" s="110"/>
    </row>
    <row r="15" spans="1:19" x14ac:dyDescent="0.25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x14ac:dyDescent="0.25">
      <c r="D16" s="110"/>
      <c r="F16" s="110"/>
      <c r="G16" s="110"/>
      <c r="J16" s="110"/>
      <c r="L16" s="110"/>
      <c r="M16" s="110"/>
      <c r="P16" s="110"/>
      <c r="R16" s="110"/>
      <c r="S16" s="110"/>
    </row>
    <row r="17" spans="2:19" x14ac:dyDescent="0.25">
      <c r="E17" s="110"/>
      <c r="F17" s="110"/>
      <c r="G17" s="110"/>
      <c r="K17" s="110"/>
      <c r="L17" s="110"/>
      <c r="M17" s="110"/>
      <c r="Q17" s="110"/>
      <c r="R17" s="110"/>
      <c r="S17" s="110"/>
    </row>
    <row r="18" spans="2:19" x14ac:dyDescent="0.25">
      <c r="F18" s="110"/>
      <c r="G18" s="110"/>
      <c r="L18" s="110"/>
      <c r="M18" s="110"/>
      <c r="R18" s="110"/>
      <c r="S18" s="110"/>
    </row>
    <row r="19" spans="2:19" x14ac:dyDescent="0.25">
      <c r="D19" s="110"/>
      <c r="F19" s="110"/>
      <c r="G19" s="110"/>
      <c r="J19" s="110"/>
      <c r="L19" s="110"/>
      <c r="M19" s="110"/>
      <c r="P19" s="110"/>
      <c r="R19" s="110"/>
      <c r="S19" s="110"/>
    </row>
    <row r="20" spans="2:19" x14ac:dyDescent="0.25">
      <c r="F20" s="110"/>
      <c r="G20" s="110"/>
      <c r="L20" s="110"/>
      <c r="M20" s="110"/>
      <c r="R20" s="110"/>
      <c r="S20" s="110"/>
    </row>
    <row r="21" spans="2:19" x14ac:dyDescent="0.25">
      <c r="F21" s="110"/>
      <c r="G21" s="110"/>
      <c r="L21" s="110"/>
      <c r="M21" s="110"/>
      <c r="R21" s="110"/>
      <c r="S21" s="110"/>
    </row>
    <row r="22" spans="2:19" x14ac:dyDescent="0.25">
      <c r="F22" s="110"/>
      <c r="G22" s="110"/>
      <c r="L22" s="110"/>
      <c r="M22" s="110"/>
      <c r="R22" s="110"/>
      <c r="S22" s="110"/>
    </row>
    <row r="23" spans="2:19" x14ac:dyDescent="0.25">
      <c r="E23" s="110"/>
      <c r="F23" s="110"/>
      <c r="G23" s="110"/>
      <c r="K23" s="110"/>
      <c r="L23" s="110"/>
      <c r="M23" s="110"/>
      <c r="Q23" s="110"/>
      <c r="R23" s="110"/>
      <c r="S23" s="110"/>
    </row>
    <row r="24" spans="2:19" x14ac:dyDescent="0.25">
      <c r="E24" s="110"/>
      <c r="G24" s="110"/>
      <c r="K24" s="110"/>
      <c r="M24" s="110"/>
      <c r="Q24" s="110"/>
      <c r="S24" s="110"/>
    </row>
    <row r="25" spans="2:19" x14ac:dyDescent="0.2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2:19" x14ac:dyDescent="0.2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2:19" x14ac:dyDescent="0.25">
      <c r="D27" s="110"/>
      <c r="F27" s="110"/>
      <c r="G27" s="110"/>
      <c r="J27" s="110"/>
      <c r="L27" s="110"/>
      <c r="M27" s="110"/>
      <c r="P27" s="110"/>
      <c r="R27" s="110"/>
      <c r="S27" s="110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4" r:id="rId3" name="Button 2">
              <controlPr defaultSize="0" print="0" autoFill="0" autoPict="0" macro="[0]!ThisWorkbook.MultiPlanModeOutput">
                <anchor moveWithCells="1" sizeWithCells="1">
                  <from>
                    <xdr:col>0</xdr:col>
                    <xdr:colOff>104775</xdr:colOff>
                    <xdr:row>0</xdr:row>
                    <xdr:rowOff>152400</xdr:rowOff>
                  </from>
                  <to>
                    <xdr:col>0</xdr:col>
                    <xdr:colOff>1247775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E15"/>
  <sheetViews>
    <sheetView tabSelected="1" workbookViewId="0"/>
  </sheetViews>
  <sheetFormatPr defaultColWidth="0" defaultRowHeight="15" zeroHeight="1" x14ac:dyDescent="0.25"/>
  <cols>
    <col min="1" max="1" width="2.7109375" customWidth="1"/>
    <col min="2" max="3" width="9.140625" customWidth="1"/>
    <col min="4" max="4" width="62.7109375" customWidth="1"/>
    <col min="5" max="5" width="2.7109375" customWidth="1"/>
    <col min="6" max="16384" width="9.140625" hidden="1"/>
  </cols>
  <sheetData>
    <row r="1" spans="1:5" x14ac:dyDescent="0.25">
      <c r="A1" s="111"/>
      <c r="B1" s="111"/>
      <c r="C1" s="111"/>
      <c r="D1" s="111"/>
      <c r="E1" s="111"/>
    </row>
    <row r="2" spans="1:5" x14ac:dyDescent="0.25">
      <c r="A2" s="111"/>
      <c r="B2" s="136" t="s">
        <v>211</v>
      </c>
      <c r="C2" s="136"/>
      <c r="D2" s="136"/>
      <c r="E2" s="111"/>
    </row>
    <row r="3" spans="1:5" x14ac:dyDescent="0.25">
      <c r="A3" s="111"/>
      <c r="B3" s="111"/>
      <c r="C3" s="111"/>
      <c r="D3" s="111"/>
      <c r="E3" s="111"/>
    </row>
    <row r="4" spans="1:5" x14ac:dyDescent="0.25">
      <c r="A4" s="111"/>
      <c r="B4" s="111" t="s">
        <v>212</v>
      </c>
      <c r="C4" s="111"/>
      <c r="D4" s="111"/>
      <c r="E4" s="111"/>
    </row>
    <row r="5" spans="1:5" x14ac:dyDescent="0.25">
      <c r="A5" s="111"/>
      <c r="B5" s="111"/>
      <c r="C5" s="111"/>
      <c r="D5" s="111"/>
      <c r="E5" s="111"/>
    </row>
    <row r="6" spans="1:5" x14ac:dyDescent="0.25">
      <c r="A6" s="111"/>
      <c r="B6" s="126" t="s">
        <v>213</v>
      </c>
      <c r="C6" s="126"/>
      <c r="D6" s="126"/>
      <c r="E6" s="111"/>
    </row>
    <row r="7" spans="1:5" x14ac:dyDescent="0.25">
      <c r="A7" s="111"/>
      <c r="B7" s="126" t="s">
        <v>201</v>
      </c>
      <c r="C7" s="126"/>
      <c r="D7" s="126"/>
      <c r="E7" s="111"/>
    </row>
    <row r="8" spans="1:5" x14ac:dyDescent="0.25">
      <c r="A8" s="111"/>
      <c r="B8" s="111"/>
      <c r="C8" s="111"/>
      <c r="D8" s="111"/>
      <c r="E8" s="111"/>
    </row>
    <row r="9" spans="1:5" x14ac:dyDescent="0.25">
      <c r="A9" s="111"/>
      <c r="B9" s="111"/>
      <c r="C9" s="111"/>
      <c r="D9" s="126" t="s">
        <v>202</v>
      </c>
      <c r="E9" s="111"/>
    </row>
    <row r="10" spans="1:5" x14ac:dyDescent="0.25">
      <c r="A10" s="111"/>
      <c r="B10" s="111"/>
      <c r="C10" s="111"/>
      <c r="D10" s="111"/>
      <c r="E10" s="111"/>
    </row>
    <row r="11" spans="1:5" x14ac:dyDescent="0.25">
      <c r="A11" s="111"/>
      <c r="B11" s="111"/>
      <c r="C11" s="111"/>
      <c r="D11" s="126" t="s">
        <v>203</v>
      </c>
      <c r="E11" s="111"/>
    </row>
    <row r="12" spans="1:5" x14ac:dyDescent="0.25">
      <c r="A12" s="111"/>
      <c r="B12" s="111"/>
      <c r="C12" s="111"/>
      <c r="D12" s="126" t="s">
        <v>214</v>
      </c>
      <c r="E12" s="111"/>
    </row>
    <row r="13" spans="1:5" x14ac:dyDescent="0.25">
      <c r="A13" s="111"/>
      <c r="B13" s="111"/>
      <c r="C13" s="111"/>
      <c r="D13" s="126" t="s">
        <v>204</v>
      </c>
      <c r="E13" s="111"/>
    </row>
    <row r="14" spans="1:5" x14ac:dyDescent="0.25">
      <c r="A14" s="111"/>
      <c r="B14" s="111"/>
      <c r="C14" s="111"/>
      <c r="D14" s="126" t="s">
        <v>228</v>
      </c>
      <c r="E14" s="111"/>
    </row>
    <row r="15" spans="1:5" x14ac:dyDescent="0.25">
      <c r="A15" s="111"/>
      <c r="B15" s="111"/>
      <c r="C15" s="111"/>
      <c r="D15" s="111"/>
      <c r="E15" s="111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Button 1">
              <controlPr defaultSize="0" print="0" autoFill="0" autoPict="0" macro="[0]!ThisWorkbook.SinglePlanMode">
                <anchor moveWithCells="1" siz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2</xdr:col>
                    <xdr:colOff>552450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Button 2">
              <controlPr defaultSize="0" print="0" autoFill="0" autoPict="0" macro="[0]!ThisWorkbook.MultiPlanMode">
                <anchor moveWithCells="1" siz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2</xdr:col>
                    <xdr:colOff>552450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2"/>
  <sheetViews>
    <sheetView workbookViewId="0"/>
  </sheetViews>
  <sheetFormatPr defaultRowHeight="15" x14ac:dyDescent="0.25"/>
  <cols>
    <col min="2" max="3" width="9.140625" style="1"/>
    <col min="6" max="6" width="9.140625" style="188"/>
  </cols>
  <sheetData>
    <row r="1" spans="1:1" x14ac:dyDescent="0.25">
      <c r="A1" t="s">
        <v>337</v>
      </c>
    </row>
    <row r="2" spans="1:1" x14ac:dyDescent="0.25">
      <c r="A2" t="s">
        <v>338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L22"/>
  <sheetViews>
    <sheetView workbookViewId="0"/>
  </sheetViews>
  <sheetFormatPr defaultColWidth="0" defaultRowHeight="15" zeroHeight="1" x14ac:dyDescent="0.25"/>
  <cols>
    <col min="1" max="1" width="2.7109375" customWidth="1"/>
    <col min="2" max="2" width="11" customWidth="1"/>
    <col min="3" max="11" width="9.140625" customWidth="1"/>
    <col min="12" max="12" width="2.7109375" customWidth="1"/>
    <col min="13" max="16384" width="9.140625" hidden="1"/>
  </cols>
  <sheetData>
    <row r="1" spans="1:12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25">
      <c r="A2" s="111"/>
      <c r="B2" s="136" t="s">
        <v>218</v>
      </c>
      <c r="C2" s="136"/>
      <c r="D2" s="136"/>
      <c r="E2" s="136"/>
      <c r="F2" s="136"/>
      <c r="G2" s="136"/>
      <c r="H2" s="136"/>
      <c r="I2" s="136"/>
      <c r="J2" s="136"/>
      <c r="K2" s="136"/>
      <c r="L2" s="111"/>
    </row>
    <row r="3" spans="1:12" x14ac:dyDescent="0.25">
      <c r="A3" s="111"/>
      <c r="B3" s="128"/>
      <c r="C3" s="128" t="s">
        <v>219</v>
      </c>
      <c r="D3" s="128"/>
      <c r="E3" s="128"/>
      <c r="F3" s="128"/>
      <c r="G3" s="128"/>
      <c r="H3" s="128"/>
      <c r="I3" s="128"/>
      <c r="J3" s="128"/>
      <c r="K3" s="128"/>
      <c r="L3" s="111"/>
    </row>
    <row r="4" spans="1:12" x14ac:dyDescent="0.25">
      <c r="A4" s="111"/>
      <c r="B4" s="128"/>
      <c r="C4" s="128" t="s">
        <v>220</v>
      </c>
      <c r="D4" s="128"/>
      <c r="E4" s="128"/>
      <c r="F4" s="128"/>
      <c r="G4" s="128"/>
      <c r="H4" s="128"/>
      <c r="I4" s="128"/>
      <c r="J4" s="128"/>
      <c r="K4" s="128"/>
      <c r="L4" s="111"/>
    </row>
    <row r="5" spans="1:12" x14ac:dyDescent="0.25">
      <c r="A5" s="111"/>
      <c r="B5" s="128"/>
      <c r="C5" s="128" t="s">
        <v>221</v>
      </c>
      <c r="D5" s="128"/>
      <c r="E5" s="128"/>
      <c r="F5" s="128"/>
      <c r="G5" s="128"/>
      <c r="H5" s="128"/>
      <c r="I5" s="128"/>
      <c r="J5" s="128"/>
      <c r="K5" s="128"/>
      <c r="L5" s="111"/>
    </row>
    <row r="6" spans="1:12" x14ac:dyDescent="0.25">
      <c r="A6" s="111"/>
      <c r="B6" s="128"/>
      <c r="C6" s="128" t="s">
        <v>222</v>
      </c>
      <c r="D6" s="128"/>
      <c r="E6" s="128"/>
      <c r="F6" s="128"/>
      <c r="G6" s="128"/>
      <c r="H6" s="128"/>
      <c r="I6" s="128"/>
      <c r="J6" s="128"/>
      <c r="K6" s="128"/>
      <c r="L6" s="111"/>
    </row>
    <row r="7" spans="1:12" x14ac:dyDescent="0.25">
      <c r="A7" s="111"/>
      <c r="B7" s="128"/>
      <c r="C7" s="128" t="s">
        <v>223</v>
      </c>
      <c r="D7" s="128"/>
      <c r="E7" s="128"/>
      <c r="F7" s="128"/>
      <c r="G7" s="128"/>
      <c r="H7" s="128"/>
      <c r="I7" s="128"/>
      <c r="J7" s="128"/>
      <c r="K7" s="128"/>
      <c r="L7" s="111"/>
    </row>
    <row r="8" spans="1:12" x14ac:dyDescent="0.25">
      <c r="A8" s="111"/>
      <c r="B8" s="128"/>
      <c r="C8" s="128" t="s">
        <v>224</v>
      </c>
      <c r="D8" s="128"/>
      <c r="E8" s="128"/>
      <c r="F8" s="128"/>
      <c r="G8" s="128"/>
      <c r="H8" s="128"/>
      <c r="I8" s="128"/>
      <c r="J8" s="128"/>
      <c r="K8" s="128"/>
      <c r="L8" s="111"/>
    </row>
    <row r="9" spans="1:12" x14ac:dyDescent="0.25">
      <c r="A9" s="111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11"/>
    </row>
    <row r="10" spans="1:12" x14ac:dyDescent="0.25">
      <c r="A10" s="111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11"/>
    </row>
    <row r="11" spans="1:12" x14ac:dyDescent="0.25">
      <c r="A11" s="111"/>
      <c r="B11" s="126" t="s">
        <v>197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11"/>
    </row>
    <row r="12" spans="1:12" x14ac:dyDescent="0.25">
      <c r="A12" s="111"/>
      <c r="B12" s="126" t="s">
        <v>225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11"/>
    </row>
    <row r="13" spans="1:12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 x14ac:dyDescent="0.25">
      <c r="A14" s="111"/>
      <c r="B14" s="111"/>
      <c r="C14" s="126" t="s">
        <v>205</v>
      </c>
      <c r="D14" s="126"/>
      <c r="E14" s="126"/>
      <c r="F14" s="126"/>
      <c r="G14" s="126"/>
      <c r="H14" s="126"/>
      <c r="I14" s="126"/>
      <c r="J14" s="126"/>
      <c r="K14" s="126"/>
      <c r="L14" s="111"/>
    </row>
    <row r="15" spans="1:12" x14ac:dyDescent="0.2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 x14ac:dyDescent="0.25">
      <c r="A16" s="111"/>
      <c r="B16" s="111" t="s">
        <v>196</v>
      </c>
      <c r="C16" s="126" t="s">
        <v>199</v>
      </c>
      <c r="D16" s="126"/>
      <c r="E16" s="126"/>
      <c r="F16" s="126"/>
      <c r="G16" s="126"/>
      <c r="H16" s="126"/>
      <c r="I16" s="126"/>
      <c r="J16" s="126"/>
      <c r="K16" s="126"/>
      <c r="L16" s="111"/>
    </row>
    <row r="17" spans="1:12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x14ac:dyDescent="0.25">
      <c r="A18" s="111"/>
      <c r="B18" s="111" t="s">
        <v>198</v>
      </c>
      <c r="C18" s="126" t="s">
        <v>378</v>
      </c>
      <c r="D18" s="126"/>
      <c r="E18" s="126"/>
      <c r="F18" s="126"/>
      <c r="G18" s="126"/>
      <c r="H18" s="126"/>
      <c r="I18" s="126"/>
      <c r="J18" s="126"/>
      <c r="K18" s="126"/>
      <c r="L18" s="111"/>
    </row>
    <row r="19" spans="1:12" x14ac:dyDescent="0.2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spans="1:12" x14ac:dyDescent="0.25">
      <c r="A20" s="111"/>
      <c r="B20" s="111"/>
      <c r="C20" s="111"/>
      <c r="D20" s="126" t="s">
        <v>226</v>
      </c>
      <c r="E20" s="126"/>
      <c r="F20" s="126"/>
      <c r="G20" s="126"/>
      <c r="H20" s="126"/>
      <c r="I20" s="126"/>
      <c r="J20" s="126"/>
      <c r="K20" s="126"/>
      <c r="L20" s="111"/>
    </row>
    <row r="21" spans="1:12" x14ac:dyDescent="0.2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12" x14ac:dyDescent="0.2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ThisWorkbook.MultiPlanModeOption1">
                <anchor moveWithCells="1" sizeWithCells="1">
                  <from>
                    <xdr:col>1</xdr:col>
                    <xdr:colOff>0</xdr:colOff>
                    <xdr:row>13</xdr:row>
                    <xdr:rowOff>9525</xdr:rowOff>
                  </from>
                  <to>
                    <xdr:col>1</xdr:col>
                    <xdr:colOff>638175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5" name="Button 4">
              <controlPr defaultSize="0" print="0" autoFill="0" autoPict="0" macro="[0]!ThisWorkbook.SinglePlanMode">
                <anchor moveWithCells="1" sizeWithCells="1">
                  <from>
                    <xdr:col>1</xdr:col>
                    <xdr:colOff>0</xdr:colOff>
                    <xdr:row>19</xdr:row>
                    <xdr:rowOff>9525</xdr:rowOff>
                  </from>
                  <to>
                    <xdr:col>2</xdr:col>
                    <xdr:colOff>466725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6" name="Button 5">
              <controlPr defaultSize="0" print="0" autoFill="0" autoPict="0" macro="[0]!ThisWorkbook.MultiPlanModeOption2">
                <anchor moveWithCells="1" siz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638175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7" name="Button 6">
              <controlPr defaultSize="0" print="0" autoFill="0" autoPict="0" macro="[0]!ThisWorkbook.MultiPlanModeOption3">
                <anchor moveWithCells="1" siz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1</xdr:col>
                    <xdr:colOff>638175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36"/>
  <sheetViews>
    <sheetView workbookViewId="0">
      <selection activeCell="C18" sqref="C18"/>
    </sheetView>
  </sheetViews>
  <sheetFormatPr defaultColWidth="0" defaultRowHeight="15" zeroHeight="1" x14ac:dyDescent="0.25"/>
  <cols>
    <col min="1" max="1" width="3" customWidth="1"/>
    <col min="2" max="2" width="43.7109375" bestFit="1" customWidth="1"/>
    <col min="3" max="3" width="24.7109375" bestFit="1" customWidth="1"/>
    <col min="4" max="6" width="10.7109375" style="25" customWidth="1"/>
    <col min="7" max="8" width="8.7109375" style="1" customWidth="1"/>
    <col min="9" max="9" width="8.7109375" customWidth="1"/>
    <col min="10" max="10" width="2.7109375" customWidth="1"/>
    <col min="11" max="11" width="1.7109375" style="202" hidden="1" customWidth="1"/>
    <col min="12" max="12" width="15.7109375" style="202" hidden="1" customWidth="1"/>
    <col min="13" max="19" width="12.7109375" style="202" hidden="1" customWidth="1"/>
    <col min="20" max="22" width="14.7109375" style="202" hidden="1" customWidth="1"/>
    <col min="23" max="23" width="1.7109375" style="202" hidden="1" customWidth="1"/>
    <col min="24" max="24" width="24.5703125" style="202" hidden="1" customWidth="1"/>
    <col min="25" max="31" width="12.7109375" style="202" hidden="1" customWidth="1"/>
    <col min="32" max="16384" width="9.140625" style="202" hidden="1"/>
  </cols>
  <sheetData>
    <row r="1" spans="1:31" x14ac:dyDescent="0.25">
      <c r="A1" s="111"/>
      <c r="B1" s="111"/>
      <c r="C1" s="111"/>
      <c r="D1" s="112"/>
      <c r="E1" s="112"/>
      <c r="F1" s="112"/>
      <c r="G1" s="113"/>
      <c r="H1" s="113"/>
      <c r="I1" s="111"/>
      <c r="J1" s="111"/>
    </row>
    <row r="2" spans="1:31" x14ac:dyDescent="0.25">
      <c r="A2" s="111"/>
      <c r="B2" s="124" t="s">
        <v>215</v>
      </c>
      <c r="C2" s="111"/>
      <c r="D2" s="127"/>
      <c r="E2" s="137" t="str">
        <f>$Y$3&amp;" of "&amp;$Y$2</f>
        <v>3 of 3</v>
      </c>
      <c r="F2" s="112"/>
      <c r="G2" s="113"/>
      <c r="H2" s="113"/>
      <c r="I2" s="111"/>
      <c r="J2" s="111"/>
      <c r="X2" s="202" t="s">
        <v>388</v>
      </c>
      <c r="Y2" s="205">
        <v>3</v>
      </c>
    </row>
    <row r="3" spans="1:31" x14ac:dyDescent="0.25">
      <c r="A3" s="111"/>
      <c r="B3" s="111" t="s">
        <v>216</v>
      </c>
      <c r="C3" s="111"/>
      <c r="D3" s="114"/>
      <c r="E3" s="114"/>
      <c r="F3" s="114"/>
      <c r="G3" s="113"/>
      <c r="H3" s="113"/>
      <c r="I3" s="111"/>
      <c r="J3" s="111"/>
      <c r="X3" s="202" t="s">
        <v>389</v>
      </c>
      <c r="Y3" s="205">
        <v>3</v>
      </c>
    </row>
    <row r="4" spans="1:31" x14ac:dyDescent="0.25">
      <c r="A4" s="111"/>
      <c r="B4" s="111" t="s">
        <v>217</v>
      </c>
      <c r="C4" s="111"/>
      <c r="D4" s="112"/>
      <c r="E4" s="112"/>
      <c r="F4" s="112"/>
      <c r="G4" s="113"/>
      <c r="H4" s="113"/>
      <c r="I4" s="111"/>
      <c r="J4" s="111"/>
      <c r="X4" s="202" t="s">
        <v>379</v>
      </c>
      <c r="Y4" s="205" t="b">
        <v>1</v>
      </c>
    </row>
    <row r="5" spans="1:31" ht="15.75" thickBot="1" x14ac:dyDescent="0.3">
      <c r="A5" s="111"/>
      <c r="B5" s="111"/>
      <c r="C5" s="111"/>
      <c r="D5" s="112"/>
      <c r="E5" s="112"/>
      <c r="F5" s="112"/>
      <c r="G5" s="113"/>
      <c r="H5" s="113"/>
      <c r="I5" s="111"/>
      <c r="J5" s="111"/>
    </row>
    <row r="6" spans="1:31" x14ac:dyDescent="0.25">
      <c r="A6" s="111"/>
      <c r="B6" s="26" t="s">
        <v>368</v>
      </c>
      <c r="C6" s="27"/>
      <c r="D6" s="28" t="s">
        <v>240</v>
      </c>
      <c r="E6" s="29"/>
      <c r="F6" s="29"/>
      <c r="G6" s="28" t="s">
        <v>146</v>
      </c>
      <c r="H6" s="29"/>
      <c r="I6" s="58" t="s">
        <v>186</v>
      </c>
      <c r="J6" s="111"/>
      <c r="L6" s="202" t="s">
        <v>289</v>
      </c>
      <c r="X6" s="202" t="s">
        <v>288</v>
      </c>
    </row>
    <row r="7" spans="1:31" ht="30.75" thickBot="1" x14ac:dyDescent="0.3">
      <c r="A7" s="111"/>
      <c r="B7" s="30" t="s">
        <v>9</v>
      </c>
      <c r="C7" s="31" t="s">
        <v>147</v>
      </c>
      <c r="D7" s="32" t="s">
        <v>144</v>
      </c>
      <c r="E7" s="31" t="s">
        <v>4</v>
      </c>
      <c r="F7" s="31" t="s">
        <v>11</v>
      </c>
      <c r="G7" s="59" t="s">
        <v>148</v>
      </c>
      <c r="H7" s="60" t="s">
        <v>149</v>
      </c>
      <c r="I7" s="33" t="s">
        <v>187</v>
      </c>
      <c r="J7" s="111"/>
      <c r="K7" s="203"/>
      <c r="L7" s="203" t="s">
        <v>282</v>
      </c>
      <c r="M7" s="203" t="s">
        <v>273</v>
      </c>
      <c r="N7" s="203" t="s">
        <v>274</v>
      </c>
      <c r="O7" s="203" t="s">
        <v>277</v>
      </c>
      <c r="P7" s="203" t="s">
        <v>278</v>
      </c>
      <c r="Q7" s="203" t="s">
        <v>279</v>
      </c>
      <c r="R7" s="203" t="s">
        <v>275</v>
      </c>
      <c r="S7" s="203" t="s">
        <v>276</v>
      </c>
      <c r="T7" s="203" t="s">
        <v>280</v>
      </c>
      <c r="U7" s="203" t="s">
        <v>281</v>
      </c>
      <c r="V7" s="203" t="s">
        <v>250</v>
      </c>
      <c r="W7" s="203"/>
      <c r="X7" s="203" t="s">
        <v>188</v>
      </c>
      <c r="Y7" s="203" t="s">
        <v>273</v>
      </c>
      <c r="Z7" s="203" t="s">
        <v>274</v>
      </c>
      <c r="AA7" s="203" t="s">
        <v>277</v>
      </c>
      <c r="AB7" s="203" t="s">
        <v>278</v>
      </c>
      <c r="AC7" s="203" t="s">
        <v>279</v>
      </c>
      <c r="AD7" s="203" t="s">
        <v>275</v>
      </c>
      <c r="AE7" s="203" t="s">
        <v>276</v>
      </c>
    </row>
    <row r="8" spans="1:31" x14ac:dyDescent="0.25">
      <c r="A8" s="111"/>
      <c r="B8" s="34" t="s">
        <v>33</v>
      </c>
      <c r="C8" s="35" t="s">
        <v>153</v>
      </c>
      <c r="D8" s="36"/>
      <c r="E8" s="37"/>
      <c r="F8" s="38"/>
      <c r="G8" s="143" t="s">
        <v>252</v>
      </c>
      <c r="H8" s="143" t="s">
        <v>252</v>
      </c>
      <c r="I8" s="50" t="s">
        <v>251</v>
      </c>
      <c r="J8" s="111"/>
      <c r="L8" s="202" t="b">
        <f t="shared" ref="L8:L27" si="0">IFERROR(IF(MATCH($C8,$X$8:$X$26,0)&gt;0,TRUE,FALSE),FALSE)</f>
        <v>1</v>
      </c>
      <c r="M8" s="202" t="b">
        <f t="shared" ref="M8:S17" si="1">IFERROR(VLOOKUP($C8,$X$8:$AE$26,MATCH(M$7,$X$7:$AE$7,0),FALSE),FALSE)</f>
        <v>1</v>
      </c>
      <c r="N8" s="202" t="b">
        <f t="shared" si="1"/>
        <v>0</v>
      </c>
      <c r="O8" s="202" t="b">
        <f t="shared" si="1"/>
        <v>0</v>
      </c>
      <c r="P8" s="202" t="b">
        <f t="shared" si="1"/>
        <v>0</v>
      </c>
      <c r="Q8" s="202" t="b">
        <f t="shared" si="1"/>
        <v>0</v>
      </c>
      <c r="R8" s="202" t="b">
        <f t="shared" si="1"/>
        <v>0</v>
      </c>
      <c r="S8" s="202" t="b">
        <f t="shared" si="1"/>
        <v>0</v>
      </c>
      <c r="T8" s="202" t="b">
        <f t="shared" ref="T8:T27" si="2">IFERROR(IF(MATCH($C8,$X$8:$X$26,0)&gt;1,TRUE,FALSE),FALSE)</f>
        <v>1</v>
      </c>
      <c r="U8" s="202" t="b">
        <f t="shared" ref="U8:V27" si="3">$T8</f>
        <v>1</v>
      </c>
      <c r="V8" s="202" t="b">
        <f t="shared" si="3"/>
        <v>1</v>
      </c>
      <c r="X8" s="202" t="s">
        <v>16</v>
      </c>
      <c r="Y8" s="202" t="b">
        <v>0</v>
      </c>
      <c r="Z8" s="202" t="b">
        <v>0</v>
      </c>
      <c r="AA8" s="202" t="b">
        <v>0</v>
      </c>
      <c r="AB8" s="202" t="b">
        <v>0</v>
      </c>
      <c r="AC8" s="202" t="b">
        <v>0</v>
      </c>
      <c r="AD8" s="202" t="b">
        <v>0</v>
      </c>
      <c r="AE8" s="202" t="b">
        <v>0</v>
      </c>
    </row>
    <row r="9" spans="1:31" x14ac:dyDescent="0.25">
      <c r="A9" s="111"/>
      <c r="B9" s="34" t="s">
        <v>284</v>
      </c>
      <c r="C9" s="35" t="s">
        <v>153</v>
      </c>
      <c r="D9" s="36"/>
      <c r="E9" s="37"/>
      <c r="F9" s="38"/>
      <c r="G9" s="143" t="s">
        <v>252</v>
      </c>
      <c r="H9" s="143" t="s">
        <v>252</v>
      </c>
      <c r="I9" s="50" t="s">
        <v>251</v>
      </c>
      <c r="J9" s="111"/>
      <c r="L9" s="202" t="b">
        <f t="shared" si="0"/>
        <v>1</v>
      </c>
      <c r="M9" s="202" t="b">
        <f t="shared" si="1"/>
        <v>1</v>
      </c>
      <c r="N9" s="202" t="b">
        <f t="shared" si="1"/>
        <v>0</v>
      </c>
      <c r="O9" s="202" t="b">
        <f t="shared" si="1"/>
        <v>0</v>
      </c>
      <c r="P9" s="202" t="b">
        <f t="shared" si="1"/>
        <v>0</v>
      </c>
      <c r="Q9" s="202" t="b">
        <f t="shared" si="1"/>
        <v>0</v>
      </c>
      <c r="R9" s="202" t="b">
        <f t="shared" si="1"/>
        <v>0</v>
      </c>
      <c r="S9" s="202" t="b">
        <f t="shared" si="1"/>
        <v>0</v>
      </c>
      <c r="T9" s="202" t="b">
        <f t="shared" si="2"/>
        <v>1</v>
      </c>
      <c r="U9" s="202" t="b">
        <f t="shared" si="3"/>
        <v>1</v>
      </c>
      <c r="V9" s="202" t="b">
        <f t="shared" si="3"/>
        <v>1</v>
      </c>
      <c r="X9" s="202" t="s">
        <v>152</v>
      </c>
      <c r="Y9" s="202" t="b">
        <v>0</v>
      </c>
      <c r="Z9" s="202" t="b">
        <v>0</v>
      </c>
      <c r="AA9" s="202" t="b">
        <v>0</v>
      </c>
      <c r="AB9" s="202" t="b">
        <v>0</v>
      </c>
      <c r="AC9" s="202" t="b">
        <v>0</v>
      </c>
      <c r="AD9" s="202" t="b">
        <v>0</v>
      </c>
      <c r="AE9" s="202" t="b">
        <v>0</v>
      </c>
    </row>
    <row r="10" spans="1:31" x14ac:dyDescent="0.25">
      <c r="A10" s="111"/>
      <c r="B10" s="34" t="s">
        <v>247</v>
      </c>
      <c r="C10" s="186" t="s">
        <v>366</v>
      </c>
      <c r="D10" s="36"/>
      <c r="E10" s="37"/>
      <c r="F10" s="38"/>
      <c r="G10" s="143" t="s">
        <v>252</v>
      </c>
      <c r="H10" s="143" t="s">
        <v>252</v>
      </c>
      <c r="I10" s="50" t="s">
        <v>251</v>
      </c>
      <c r="J10" s="111"/>
      <c r="L10" s="202" t="b">
        <f t="shared" si="0"/>
        <v>1</v>
      </c>
      <c r="M10" s="202" t="b">
        <f t="shared" si="1"/>
        <v>0</v>
      </c>
      <c r="N10" s="202" t="b">
        <f t="shared" si="1"/>
        <v>0</v>
      </c>
      <c r="O10" s="202" t="b">
        <f t="shared" si="1"/>
        <v>1</v>
      </c>
      <c r="P10" s="202" t="b">
        <f t="shared" si="1"/>
        <v>0</v>
      </c>
      <c r="Q10" s="202" t="b">
        <f t="shared" si="1"/>
        <v>0</v>
      </c>
      <c r="R10" s="202" t="b">
        <f t="shared" si="1"/>
        <v>0</v>
      </c>
      <c r="S10" s="202" t="b">
        <f t="shared" si="1"/>
        <v>0</v>
      </c>
      <c r="T10" s="202" t="b">
        <f t="shared" si="2"/>
        <v>1</v>
      </c>
      <c r="U10" s="202" t="b">
        <f t="shared" si="3"/>
        <v>1</v>
      </c>
      <c r="V10" s="202" t="b">
        <f t="shared" si="3"/>
        <v>1</v>
      </c>
      <c r="X10" s="202" t="str">
        <f>BENEFIT_DESIGN!$B$28&amp;" Only"</f>
        <v>Plan Deductible Only</v>
      </c>
      <c r="Y10" s="202" t="b">
        <v>1</v>
      </c>
      <c r="Z10" s="202" t="b">
        <v>0</v>
      </c>
      <c r="AA10" s="202" t="b">
        <v>0</v>
      </c>
      <c r="AB10" s="202" t="b">
        <v>0</v>
      </c>
      <c r="AC10" s="202" t="b">
        <v>0</v>
      </c>
      <c r="AD10" s="202" t="b">
        <v>0</v>
      </c>
      <c r="AE10" s="202" t="b">
        <v>0</v>
      </c>
    </row>
    <row r="11" spans="1:31" x14ac:dyDescent="0.25">
      <c r="A11" s="111"/>
      <c r="B11" s="34" t="s">
        <v>248</v>
      </c>
      <c r="C11" s="186" t="s">
        <v>366</v>
      </c>
      <c r="D11" s="36"/>
      <c r="E11" s="37"/>
      <c r="F11" s="38"/>
      <c r="G11" s="143" t="s">
        <v>252</v>
      </c>
      <c r="H11" s="143" t="s">
        <v>252</v>
      </c>
      <c r="I11" s="50" t="s">
        <v>251</v>
      </c>
      <c r="J11" s="111"/>
      <c r="L11" s="202" t="b">
        <f t="shared" si="0"/>
        <v>1</v>
      </c>
      <c r="M11" s="202" t="b">
        <f t="shared" si="1"/>
        <v>0</v>
      </c>
      <c r="N11" s="202" t="b">
        <f t="shared" si="1"/>
        <v>0</v>
      </c>
      <c r="O11" s="202" t="b">
        <f t="shared" si="1"/>
        <v>1</v>
      </c>
      <c r="P11" s="202" t="b">
        <f t="shared" si="1"/>
        <v>0</v>
      </c>
      <c r="Q11" s="202" t="b">
        <f t="shared" si="1"/>
        <v>0</v>
      </c>
      <c r="R11" s="202" t="b">
        <f t="shared" si="1"/>
        <v>0</v>
      </c>
      <c r="S11" s="202" t="b">
        <f t="shared" si="1"/>
        <v>0</v>
      </c>
      <c r="T11" s="202" t="b">
        <f t="shared" si="2"/>
        <v>1</v>
      </c>
      <c r="U11" s="202" t="b">
        <f t="shared" si="3"/>
        <v>1</v>
      </c>
      <c r="V11" s="202" t="b">
        <f t="shared" si="3"/>
        <v>1</v>
      </c>
      <c r="X11" s="202" t="str">
        <f>BENEFIT_DESIGN!$B$29&amp;" Only"</f>
        <v>Rx Deductible Only</v>
      </c>
      <c r="Y11" s="202" t="b">
        <v>0</v>
      </c>
      <c r="Z11" s="202" t="b">
        <v>1</v>
      </c>
      <c r="AA11" s="202" t="b">
        <v>0</v>
      </c>
      <c r="AB11" s="202" t="b">
        <v>0</v>
      </c>
      <c r="AC11" s="202" t="b">
        <v>0</v>
      </c>
      <c r="AD11" s="202" t="b">
        <v>0</v>
      </c>
      <c r="AE11" s="202" t="b">
        <v>0</v>
      </c>
    </row>
    <row r="12" spans="1:31" x14ac:dyDescent="0.25">
      <c r="A12" s="111"/>
      <c r="B12" s="34" t="s">
        <v>34</v>
      </c>
      <c r="C12" s="186" t="s">
        <v>151</v>
      </c>
      <c r="D12" s="36"/>
      <c r="E12" s="37">
        <v>30</v>
      </c>
      <c r="F12" s="38"/>
      <c r="G12" s="143" t="s">
        <v>252</v>
      </c>
      <c r="H12" s="143" t="s">
        <v>252</v>
      </c>
      <c r="I12" s="50" t="s">
        <v>251</v>
      </c>
      <c r="J12" s="111"/>
      <c r="L12" s="202" t="b">
        <f t="shared" si="0"/>
        <v>1</v>
      </c>
      <c r="M12" s="202" t="b">
        <f t="shared" si="1"/>
        <v>0</v>
      </c>
      <c r="N12" s="202" t="b">
        <f t="shared" si="1"/>
        <v>0</v>
      </c>
      <c r="O12" s="202" t="b">
        <f t="shared" si="1"/>
        <v>0</v>
      </c>
      <c r="P12" s="202" t="b">
        <f t="shared" si="1"/>
        <v>0</v>
      </c>
      <c r="Q12" s="202" t="b">
        <f t="shared" si="1"/>
        <v>0</v>
      </c>
      <c r="R12" s="202" t="b">
        <f t="shared" si="1"/>
        <v>1</v>
      </c>
      <c r="S12" s="202" t="b">
        <f t="shared" si="1"/>
        <v>0</v>
      </c>
      <c r="T12" s="202" t="b">
        <f t="shared" si="2"/>
        <v>1</v>
      </c>
      <c r="U12" s="202" t="b">
        <f t="shared" si="3"/>
        <v>1</v>
      </c>
      <c r="V12" s="202" t="b">
        <f t="shared" si="3"/>
        <v>1</v>
      </c>
      <c r="X12" s="202" t="str">
        <f>BENEFIT_DESIGN!$B$30&amp;" Only"</f>
        <v>Deductible C Only</v>
      </c>
      <c r="Y12" s="202" t="b">
        <v>0</v>
      </c>
      <c r="Z12" s="202" t="b">
        <v>0</v>
      </c>
      <c r="AA12" s="202" t="b">
        <v>1</v>
      </c>
      <c r="AB12" s="202" t="b">
        <v>0</v>
      </c>
      <c r="AC12" s="202" t="b">
        <v>0</v>
      </c>
      <c r="AD12" s="202" t="b">
        <v>0</v>
      </c>
      <c r="AE12" s="202" t="b">
        <v>0</v>
      </c>
    </row>
    <row r="13" spans="1:31" x14ac:dyDescent="0.25">
      <c r="A13" s="111"/>
      <c r="B13" s="34" t="s">
        <v>286</v>
      </c>
      <c r="C13" s="35" t="s">
        <v>366</v>
      </c>
      <c r="D13" s="36"/>
      <c r="E13" s="37"/>
      <c r="F13" s="38"/>
      <c r="G13" s="143" t="s">
        <v>252</v>
      </c>
      <c r="H13" s="143" t="s">
        <v>252</v>
      </c>
      <c r="I13" s="50" t="s">
        <v>251</v>
      </c>
      <c r="J13" s="111"/>
      <c r="L13" s="202" t="b">
        <f t="shared" si="0"/>
        <v>1</v>
      </c>
      <c r="M13" s="202" t="b">
        <f t="shared" si="1"/>
        <v>0</v>
      </c>
      <c r="N13" s="202" t="b">
        <f t="shared" si="1"/>
        <v>0</v>
      </c>
      <c r="O13" s="202" t="b">
        <f t="shared" si="1"/>
        <v>1</v>
      </c>
      <c r="P13" s="202" t="b">
        <f t="shared" si="1"/>
        <v>0</v>
      </c>
      <c r="Q13" s="202" t="b">
        <f t="shared" si="1"/>
        <v>0</v>
      </c>
      <c r="R13" s="202" t="b">
        <f t="shared" si="1"/>
        <v>0</v>
      </c>
      <c r="S13" s="202" t="b">
        <f t="shared" si="1"/>
        <v>0</v>
      </c>
      <c r="T13" s="202" t="b">
        <f t="shared" si="2"/>
        <v>1</v>
      </c>
      <c r="U13" s="202" t="b">
        <f t="shared" si="3"/>
        <v>1</v>
      </c>
      <c r="V13" s="202" t="b">
        <f t="shared" si="3"/>
        <v>1</v>
      </c>
      <c r="X13" s="202" t="str">
        <f>BENEFIT_DESIGN!$B$31&amp;" Only"</f>
        <v>Deductible D Only</v>
      </c>
      <c r="Y13" s="202" t="b">
        <v>0</v>
      </c>
      <c r="Z13" s="202" t="b">
        <v>0</v>
      </c>
      <c r="AA13" s="202" t="b">
        <v>0</v>
      </c>
      <c r="AB13" s="202" t="b">
        <v>1</v>
      </c>
      <c r="AC13" s="202" t="b">
        <v>0</v>
      </c>
      <c r="AD13" s="202" t="b">
        <v>0</v>
      </c>
      <c r="AE13" s="202" t="b">
        <v>0</v>
      </c>
    </row>
    <row r="14" spans="1:31" x14ac:dyDescent="0.25">
      <c r="A14" s="111"/>
      <c r="B14" s="34" t="s">
        <v>285</v>
      </c>
      <c r="C14" s="35" t="s">
        <v>153</v>
      </c>
      <c r="D14" s="36"/>
      <c r="E14" s="37"/>
      <c r="F14" s="38"/>
      <c r="G14" s="143" t="s">
        <v>252</v>
      </c>
      <c r="H14" s="143" t="s">
        <v>252</v>
      </c>
      <c r="I14" s="50" t="s">
        <v>251</v>
      </c>
      <c r="J14" s="111"/>
      <c r="L14" s="202" t="b">
        <f t="shared" si="0"/>
        <v>1</v>
      </c>
      <c r="M14" s="202" t="b">
        <f t="shared" si="1"/>
        <v>1</v>
      </c>
      <c r="N14" s="202" t="b">
        <f t="shared" si="1"/>
        <v>0</v>
      </c>
      <c r="O14" s="202" t="b">
        <f t="shared" si="1"/>
        <v>0</v>
      </c>
      <c r="P14" s="202" t="b">
        <f t="shared" si="1"/>
        <v>0</v>
      </c>
      <c r="Q14" s="202" t="b">
        <f t="shared" si="1"/>
        <v>0</v>
      </c>
      <c r="R14" s="202" t="b">
        <f t="shared" si="1"/>
        <v>0</v>
      </c>
      <c r="S14" s="202" t="b">
        <f t="shared" si="1"/>
        <v>0</v>
      </c>
      <c r="T14" s="202" t="b">
        <f t="shared" si="2"/>
        <v>1</v>
      </c>
      <c r="U14" s="202" t="b">
        <f t="shared" si="3"/>
        <v>1</v>
      </c>
      <c r="V14" s="202" t="b">
        <f t="shared" si="3"/>
        <v>1</v>
      </c>
      <c r="X14" s="202" t="s">
        <v>150</v>
      </c>
      <c r="Y14" s="202" t="b">
        <v>0</v>
      </c>
      <c r="Z14" s="202" t="b">
        <v>0</v>
      </c>
      <c r="AA14" s="202" t="b">
        <v>0</v>
      </c>
      <c r="AB14" s="202" t="b">
        <v>0</v>
      </c>
      <c r="AC14" s="202" t="b">
        <v>1</v>
      </c>
      <c r="AD14" s="202" t="b">
        <v>0</v>
      </c>
      <c r="AE14" s="202" t="b">
        <v>0</v>
      </c>
    </row>
    <row r="15" spans="1:31" x14ac:dyDescent="0.25">
      <c r="A15" s="111"/>
      <c r="B15" s="34" t="s">
        <v>35</v>
      </c>
      <c r="C15" s="186" t="s">
        <v>153</v>
      </c>
      <c r="D15" s="36"/>
      <c r="E15" s="37"/>
      <c r="F15" s="38"/>
      <c r="G15" s="143" t="s">
        <v>252</v>
      </c>
      <c r="H15" s="143" t="s">
        <v>252</v>
      </c>
      <c r="I15" s="50" t="s">
        <v>251</v>
      </c>
      <c r="J15" s="111"/>
      <c r="L15" s="202" t="b">
        <f t="shared" si="0"/>
        <v>1</v>
      </c>
      <c r="M15" s="202" t="b">
        <f t="shared" si="1"/>
        <v>1</v>
      </c>
      <c r="N15" s="202" t="b">
        <f t="shared" si="1"/>
        <v>0</v>
      </c>
      <c r="O15" s="202" t="b">
        <f t="shared" si="1"/>
        <v>0</v>
      </c>
      <c r="P15" s="202" t="b">
        <f t="shared" si="1"/>
        <v>0</v>
      </c>
      <c r="Q15" s="202" t="b">
        <f t="shared" si="1"/>
        <v>0</v>
      </c>
      <c r="R15" s="202" t="b">
        <f t="shared" si="1"/>
        <v>0</v>
      </c>
      <c r="S15" s="202" t="b">
        <f t="shared" si="1"/>
        <v>0</v>
      </c>
      <c r="T15" s="202" t="b">
        <f t="shared" si="2"/>
        <v>1</v>
      </c>
      <c r="U15" s="202" t="b">
        <f t="shared" si="3"/>
        <v>1</v>
      </c>
      <c r="V15" s="202" t="b">
        <f t="shared" si="3"/>
        <v>1</v>
      </c>
      <c r="X15" s="202" t="s">
        <v>151</v>
      </c>
      <c r="Y15" s="202" t="b">
        <v>0</v>
      </c>
      <c r="Z15" s="202" t="b">
        <v>0</v>
      </c>
      <c r="AA15" s="202" t="b">
        <v>0</v>
      </c>
      <c r="AB15" s="202" t="b">
        <v>0</v>
      </c>
      <c r="AC15" s="202" t="b">
        <v>0</v>
      </c>
      <c r="AD15" s="202" t="b">
        <v>1</v>
      </c>
      <c r="AE15" s="202" t="b">
        <v>0</v>
      </c>
    </row>
    <row r="16" spans="1:31" x14ac:dyDescent="0.25">
      <c r="A16" s="111"/>
      <c r="B16" s="34" t="s">
        <v>36</v>
      </c>
      <c r="C16" s="35" t="s">
        <v>153</v>
      </c>
      <c r="D16" s="36"/>
      <c r="E16" s="37"/>
      <c r="F16" s="38"/>
      <c r="G16" s="143" t="s">
        <v>252</v>
      </c>
      <c r="H16" s="143" t="s">
        <v>252</v>
      </c>
      <c r="I16" s="50" t="s">
        <v>251</v>
      </c>
      <c r="J16" s="111"/>
      <c r="L16" s="202" t="b">
        <f t="shared" si="0"/>
        <v>1</v>
      </c>
      <c r="M16" s="202" t="b">
        <f t="shared" si="1"/>
        <v>1</v>
      </c>
      <c r="N16" s="202" t="b">
        <f t="shared" si="1"/>
        <v>0</v>
      </c>
      <c r="O16" s="202" t="b">
        <f t="shared" si="1"/>
        <v>0</v>
      </c>
      <c r="P16" s="202" t="b">
        <f t="shared" si="1"/>
        <v>0</v>
      </c>
      <c r="Q16" s="202" t="b">
        <f t="shared" si="1"/>
        <v>0</v>
      </c>
      <c r="R16" s="202" t="b">
        <f t="shared" si="1"/>
        <v>0</v>
      </c>
      <c r="S16" s="202" t="b">
        <f t="shared" si="1"/>
        <v>0</v>
      </c>
      <c r="T16" s="202" t="b">
        <f t="shared" si="2"/>
        <v>1</v>
      </c>
      <c r="U16" s="202" t="b">
        <f t="shared" si="3"/>
        <v>1</v>
      </c>
      <c r="V16" s="202" t="b">
        <f t="shared" si="3"/>
        <v>1</v>
      </c>
      <c r="X16" s="202" t="s">
        <v>154</v>
      </c>
      <c r="Y16" s="202" t="b">
        <v>0</v>
      </c>
      <c r="Z16" s="202" t="b">
        <v>0</v>
      </c>
      <c r="AA16" s="202" t="b">
        <v>0</v>
      </c>
      <c r="AB16" s="202" t="b">
        <v>0</v>
      </c>
      <c r="AC16" s="202" t="b">
        <v>0</v>
      </c>
      <c r="AD16" s="202" t="b">
        <v>0</v>
      </c>
      <c r="AE16" s="202" t="b">
        <v>1</v>
      </c>
    </row>
    <row r="17" spans="1:31" x14ac:dyDescent="0.25">
      <c r="A17" s="111"/>
      <c r="B17" s="34" t="s">
        <v>249</v>
      </c>
      <c r="C17" s="35" t="s">
        <v>153</v>
      </c>
      <c r="D17" s="36"/>
      <c r="E17" s="37"/>
      <c r="F17" s="38"/>
      <c r="G17" s="143" t="s">
        <v>252</v>
      </c>
      <c r="H17" s="143" t="s">
        <v>252</v>
      </c>
      <c r="I17" s="187" t="s">
        <v>251</v>
      </c>
      <c r="J17" s="111"/>
      <c r="L17" s="202" t="b">
        <f t="shared" si="0"/>
        <v>1</v>
      </c>
      <c r="M17" s="202" t="b">
        <f t="shared" si="1"/>
        <v>1</v>
      </c>
      <c r="N17" s="202" t="b">
        <f t="shared" si="1"/>
        <v>0</v>
      </c>
      <c r="O17" s="202" t="b">
        <f t="shared" si="1"/>
        <v>0</v>
      </c>
      <c r="P17" s="202" t="b">
        <f t="shared" si="1"/>
        <v>0</v>
      </c>
      <c r="Q17" s="202" t="b">
        <f t="shared" si="1"/>
        <v>0</v>
      </c>
      <c r="R17" s="202" t="b">
        <f t="shared" si="1"/>
        <v>0</v>
      </c>
      <c r="S17" s="202" t="b">
        <f t="shared" si="1"/>
        <v>0</v>
      </c>
      <c r="T17" s="202" t="b">
        <f t="shared" si="2"/>
        <v>1</v>
      </c>
      <c r="U17" s="202" t="b">
        <f t="shared" si="3"/>
        <v>1</v>
      </c>
      <c r="V17" s="202" t="b">
        <f t="shared" si="3"/>
        <v>1</v>
      </c>
      <c r="X17" s="202" t="str">
        <f>BENEFIT_DESIGN!$B$28&amp;"+Co-pay"</f>
        <v>Plan Deductible+Co-pay</v>
      </c>
      <c r="Y17" s="202" t="b">
        <v>1</v>
      </c>
      <c r="Z17" s="202" t="b">
        <v>0</v>
      </c>
      <c r="AA17" s="202" t="b">
        <v>0</v>
      </c>
      <c r="AB17" s="202" t="b">
        <v>0</v>
      </c>
      <c r="AC17" s="202" t="b">
        <v>0</v>
      </c>
      <c r="AD17" s="202" t="b">
        <v>1</v>
      </c>
      <c r="AE17" s="202" t="b">
        <v>0</v>
      </c>
    </row>
    <row r="18" spans="1:31" x14ac:dyDescent="0.25">
      <c r="A18" s="111"/>
      <c r="B18" s="34" t="s">
        <v>37</v>
      </c>
      <c r="C18" s="186" t="s">
        <v>153</v>
      </c>
      <c r="D18" s="36"/>
      <c r="E18" s="37"/>
      <c r="F18" s="38"/>
      <c r="G18" s="143" t="s">
        <v>252</v>
      </c>
      <c r="H18" s="143" t="s">
        <v>252</v>
      </c>
      <c r="I18" s="187" t="s">
        <v>251</v>
      </c>
      <c r="J18" s="111"/>
      <c r="L18" s="202" t="b">
        <f t="shared" si="0"/>
        <v>1</v>
      </c>
      <c r="M18" s="202" t="b">
        <f t="shared" ref="M18:S27" si="4">IFERROR(VLOOKUP($C18,$X$8:$AE$26,MATCH(M$7,$X$7:$AE$7,0),FALSE),FALSE)</f>
        <v>1</v>
      </c>
      <c r="N18" s="202" t="b">
        <f t="shared" si="4"/>
        <v>0</v>
      </c>
      <c r="O18" s="202" t="b">
        <f t="shared" si="4"/>
        <v>0</v>
      </c>
      <c r="P18" s="202" t="b">
        <f t="shared" si="4"/>
        <v>0</v>
      </c>
      <c r="Q18" s="202" t="b">
        <f t="shared" si="4"/>
        <v>0</v>
      </c>
      <c r="R18" s="202" t="b">
        <f t="shared" si="4"/>
        <v>0</v>
      </c>
      <c r="S18" s="202" t="b">
        <f t="shared" si="4"/>
        <v>0</v>
      </c>
      <c r="T18" s="202" t="b">
        <f t="shared" si="2"/>
        <v>1</v>
      </c>
      <c r="U18" s="202" t="b">
        <f t="shared" si="3"/>
        <v>1</v>
      </c>
      <c r="V18" s="202" t="b">
        <f t="shared" si="3"/>
        <v>1</v>
      </c>
      <c r="X18" s="202" t="str">
        <f>BENEFIT_DESIGN!$B$29&amp;"+Co-pay"</f>
        <v>Rx Deductible+Co-pay</v>
      </c>
      <c r="Y18" s="202" t="b">
        <v>0</v>
      </c>
      <c r="Z18" s="202" t="b">
        <v>1</v>
      </c>
      <c r="AA18" s="202" t="b">
        <v>0</v>
      </c>
      <c r="AB18" s="202" t="b">
        <v>0</v>
      </c>
      <c r="AC18" s="202" t="b">
        <v>0</v>
      </c>
      <c r="AD18" s="202" t="b">
        <v>1</v>
      </c>
      <c r="AE18" s="202" t="b">
        <v>0</v>
      </c>
    </row>
    <row r="19" spans="1:31" x14ac:dyDescent="0.25">
      <c r="A19" s="111"/>
      <c r="B19" s="34" t="s">
        <v>38</v>
      </c>
      <c r="C19" s="186" t="s">
        <v>153</v>
      </c>
      <c r="D19" s="36"/>
      <c r="E19" s="37"/>
      <c r="F19" s="38"/>
      <c r="G19" s="143" t="s">
        <v>252</v>
      </c>
      <c r="H19" s="143" t="s">
        <v>252</v>
      </c>
      <c r="I19" s="50" t="s">
        <v>251</v>
      </c>
      <c r="J19" s="111"/>
      <c r="L19" s="202" t="b">
        <f t="shared" si="0"/>
        <v>1</v>
      </c>
      <c r="M19" s="202" t="b">
        <f t="shared" si="4"/>
        <v>1</v>
      </c>
      <c r="N19" s="202" t="b">
        <f t="shared" si="4"/>
        <v>0</v>
      </c>
      <c r="O19" s="202" t="b">
        <f t="shared" si="4"/>
        <v>0</v>
      </c>
      <c r="P19" s="202" t="b">
        <f t="shared" si="4"/>
        <v>0</v>
      </c>
      <c r="Q19" s="202" t="b">
        <f t="shared" si="4"/>
        <v>0</v>
      </c>
      <c r="R19" s="202" t="b">
        <f t="shared" si="4"/>
        <v>0</v>
      </c>
      <c r="S19" s="202" t="b">
        <f t="shared" si="4"/>
        <v>0</v>
      </c>
      <c r="T19" s="202" t="b">
        <f t="shared" si="2"/>
        <v>1</v>
      </c>
      <c r="U19" s="202" t="b">
        <f t="shared" si="3"/>
        <v>1</v>
      </c>
      <c r="V19" s="202" t="b">
        <f t="shared" si="3"/>
        <v>1</v>
      </c>
      <c r="X19" s="202" t="str">
        <f>BENEFIT_DESIGN!$B$30&amp;"+Co-pay"</f>
        <v>Deductible C+Co-pay</v>
      </c>
      <c r="Y19" s="202" t="b">
        <v>0</v>
      </c>
      <c r="Z19" s="202" t="b">
        <v>0</v>
      </c>
      <c r="AA19" s="202" t="b">
        <v>1</v>
      </c>
      <c r="AB19" s="202" t="b">
        <v>0</v>
      </c>
      <c r="AC19" s="202" t="b">
        <v>0</v>
      </c>
      <c r="AD19" s="202" t="b">
        <v>1</v>
      </c>
      <c r="AE19" s="202" t="b">
        <v>0</v>
      </c>
    </row>
    <row r="20" spans="1:31" x14ac:dyDescent="0.25">
      <c r="A20" s="111"/>
      <c r="B20" s="34" t="s">
        <v>39</v>
      </c>
      <c r="C20" s="35" t="s">
        <v>367</v>
      </c>
      <c r="D20" s="36"/>
      <c r="E20" s="37">
        <v>10</v>
      </c>
      <c r="F20" s="38"/>
      <c r="G20" s="143" t="s">
        <v>252</v>
      </c>
      <c r="H20" s="143" t="s">
        <v>252</v>
      </c>
      <c r="I20" s="50" t="s">
        <v>251</v>
      </c>
      <c r="J20" s="111"/>
      <c r="L20" s="202" t="b">
        <f t="shared" si="0"/>
        <v>1</v>
      </c>
      <c r="M20" s="202" t="b">
        <f t="shared" si="4"/>
        <v>0</v>
      </c>
      <c r="N20" s="202" t="b">
        <f t="shared" si="4"/>
        <v>1</v>
      </c>
      <c r="O20" s="202" t="b">
        <f t="shared" si="4"/>
        <v>0</v>
      </c>
      <c r="P20" s="202" t="b">
        <f t="shared" si="4"/>
        <v>0</v>
      </c>
      <c r="Q20" s="202" t="b">
        <f t="shared" si="4"/>
        <v>0</v>
      </c>
      <c r="R20" s="202" t="b">
        <f t="shared" si="4"/>
        <v>1</v>
      </c>
      <c r="S20" s="202" t="b">
        <f t="shared" si="4"/>
        <v>0</v>
      </c>
      <c r="T20" s="202" t="b">
        <f t="shared" si="2"/>
        <v>1</v>
      </c>
      <c r="U20" s="202" t="b">
        <f t="shared" si="3"/>
        <v>1</v>
      </c>
      <c r="V20" s="202" t="b">
        <f t="shared" si="3"/>
        <v>1</v>
      </c>
      <c r="X20" s="202" t="str">
        <f>BENEFIT_DESIGN!$B$31&amp;"+Co-pay"</f>
        <v>Deductible D+Co-pay</v>
      </c>
      <c r="Y20" s="202" t="b">
        <v>0</v>
      </c>
      <c r="Z20" s="202" t="b">
        <v>0</v>
      </c>
      <c r="AA20" s="202" t="b">
        <v>0</v>
      </c>
      <c r="AB20" s="202" t="b">
        <v>1</v>
      </c>
      <c r="AC20" s="202" t="b">
        <v>0</v>
      </c>
      <c r="AD20" s="202" t="b">
        <v>1</v>
      </c>
      <c r="AE20" s="202" t="b">
        <v>0</v>
      </c>
    </row>
    <row r="21" spans="1:31" x14ac:dyDescent="0.25">
      <c r="A21" s="111"/>
      <c r="B21" s="34" t="s">
        <v>40</v>
      </c>
      <c r="C21" s="35" t="s">
        <v>367</v>
      </c>
      <c r="D21" s="36"/>
      <c r="E21" s="37">
        <v>30</v>
      </c>
      <c r="F21" s="38"/>
      <c r="G21" s="143" t="s">
        <v>252</v>
      </c>
      <c r="H21" s="143" t="s">
        <v>252</v>
      </c>
      <c r="I21" s="50" t="s">
        <v>251</v>
      </c>
      <c r="J21" s="111"/>
      <c r="L21" s="202" t="b">
        <f t="shared" si="0"/>
        <v>1</v>
      </c>
      <c r="M21" s="202" t="b">
        <f t="shared" si="4"/>
        <v>0</v>
      </c>
      <c r="N21" s="202" t="b">
        <f t="shared" si="4"/>
        <v>1</v>
      </c>
      <c r="O21" s="202" t="b">
        <f t="shared" si="4"/>
        <v>0</v>
      </c>
      <c r="P21" s="202" t="b">
        <f t="shared" si="4"/>
        <v>0</v>
      </c>
      <c r="Q21" s="202" t="b">
        <f t="shared" si="4"/>
        <v>0</v>
      </c>
      <c r="R21" s="202" t="b">
        <f t="shared" si="4"/>
        <v>1</v>
      </c>
      <c r="S21" s="202" t="b">
        <f t="shared" si="4"/>
        <v>0</v>
      </c>
      <c r="T21" s="202" t="b">
        <f t="shared" si="2"/>
        <v>1</v>
      </c>
      <c r="U21" s="202" t="b">
        <f t="shared" si="3"/>
        <v>1</v>
      </c>
      <c r="V21" s="202" t="b">
        <f t="shared" si="3"/>
        <v>1</v>
      </c>
      <c r="X21" s="202" t="s">
        <v>18</v>
      </c>
      <c r="Y21" s="202" t="b">
        <v>0</v>
      </c>
      <c r="Z21" s="202" t="b">
        <v>0</v>
      </c>
      <c r="AA21" s="202" t="b">
        <v>0</v>
      </c>
      <c r="AB21" s="202" t="b">
        <v>0</v>
      </c>
      <c r="AC21" s="202" t="b">
        <v>1</v>
      </c>
      <c r="AD21" s="202" t="b">
        <v>1</v>
      </c>
      <c r="AE21" s="202" t="b">
        <v>0</v>
      </c>
    </row>
    <row r="22" spans="1:31" x14ac:dyDescent="0.25">
      <c r="A22" s="111"/>
      <c r="B22" s="34" t="s">
        <v>41</v>
      </c>
      <c r="C22" s="35" t="s">
        <v>16</v>
      </c>
      <c r="D22" s="36"/>
      <c r="E22" s="37"/>
      <c r="F22" s="38"/>
      <c r="G22" s="143"/>
      <c r="H22" s="143"/>
      <c r="I22" s="50"/>
      <c r="J22" s="111"/>
      <c r="L22" s="202" t="b">
        <f t="shared" si="0"/>
        <v>1</v>
      </c>
      <c r="M22" s="202" t="b">
        <f t="shared" si="4"/>
        <v>0</v>
      </c>
      <c r="N22" s="202" t="b">
        <f t="shared" si="4"/>
        <v>0</v>
      </c>
      <c r="O22" s="202" t="b">
        <f t="shared" si="4"/>
        <v>0</v>
      </c>
      <c r="P22" s="202" t="b">
        <f t="shared" si="4"/>
        <v>0</v>
      </c>
      <c r="Q22" s="202" t="b">
        <f t="shared" si="4"/>
        <v>0</v>
      </c>
      <c r="R22" s="202" t="b">
        <f t="shared" si="4"/>
        <v>0</v>
      </c>
      <c r="S22" s="202" t="b">
        <f t="shared" si="4"/>
        <v>0</v>
      </c>
      <c r="T22" s="202" t="b">
        <f t="shared" si="2"/>
        <v>0</v>
      </c>
      <c r="U22" s="202" t="b">
        <f t="shared" si="3"/>
        <v>0</v>
      </c>
      <c r="V22" s="202" t="b">
        <f t="shared" si="3"/>
        <v>0</v>
      </c>
      <c r="X22" s="202" t="str">
        <f>BENEFIT_DESIGN!$B$28&amp;"+Co-ins"</f>
        <v>Plan Deductible+Co-ins</v>
      </c>
      <c r="Y22" s="202" t="b">
        <v>1</v>
      </c>
      <c r="Z22" s="202" t="b">
        <v>0</v>
      </c>
      <c r="AA22" s="202" t="b">
        <v>0</v>
      </c>
      <c r="AB22" s="202" t="b">
        <v>0</v>
      </c>
      <c r="AC22" s="202" t="b">
        <v>0</v>
      </c>
      <c r="AD22" s="202" t="b">
        <v>0</v>
      </c>
      <c r="AE22" s="202" t="b">
        <v>1</v>
      </c>
    </row>
    <row r="23" spans="1:31" x14ac:dyDescent="0.25">
      <c r="A23" s="111"/>
      <c r="B23" s="34" t="s">
        <v>42</v>
      </c>
      <c r="C23" s="35" t="s">
        <v>152</v>
      </c>
      <c r="D23" s="36"/>
      <c r="E23" s="37"/>
      <c r="F23" s="38"/>
      <c r="G23" s="143" t="s">
        <v>252</v>
      </c>
      <c r="H23" s="143" t="s">
        <v>252</v>
      </c>
      <c r="I23" s="50" t="s">
        <v>251</v>
      </c>
      <c r="J23" s="111"/>
      <c r="L23" s="202" t="b">
        <f t="shared" si="0"/>
        <v>1</v>
      </c>
      <c r="M23" s="202" t="b">
        <f t="shared" si="4"/>
        <v>0</v>
      </c>
      <c r="N23" s="202" t="b">
        <f t="shared" si="4"/>
        <v>0</v>
      </c>
      <c r="O23" s="202" t="b">
        <f t="shared" si="4"/>
        <v>0</v>
      </c>
      <c r="P23" s="202" t="b">
        <f t="shared" si="4"/>
        <v>0</v>
      </c>
      <c r="Q23" s="202" t="b">
        <f t="shared" si="4"/>
        <v>0</v>
      </c>
      <c r="R23" s="202" t="b">
        <f t="shared" si="4"/>
        <v>0</v>
      </c>
      <c r="S23" s="202" t="b">
        <f t="shared" si="4"/>
        <v>0</v>
      </c>
      <c r="T23" s="202" t="b">
        <f t="shared" si="2"/>
        <v>1</v>
      </c>
      <c r="U23" s="202" t="b">
        <f t="shared" si="3"/>
        <v>1</v>
      </c>
      <c r="V23" s="202" t="b">
        <f t="shared" si="3"/>
        <v>1</v>
      </c>
      <c r="X23" s="202" t="str">
        <f>BENEFIT_DESIGN!$B$29&amp;"+Co-ins"</f>
        <v>Rx Deductible+Co-ins</v>
      </c>
      <c r="Y23" s="202" t="b">
        <v>0</v>
      </c>
      <c r="Z23" s="202" t="b">
        <v>1</v>
      </c>
      <c r="AA23" s="202" t="b">
        <v>0</v>
      </c>
      <c r="AB23" s="202" t="b">
        <v>0</v>
      </c>
      <c r="AC23" s="202" t="b">
        <v>0</v>
      </c>
      <c r="AD23" s="202" t="b">
        <v>0</v>
      </c>
      <c r="AE23" s="202" t="b">
        <v>1</v>
      </c>
    </row>
    <row r="24" spans="1:31" x14ac:dyDescent="0.25">
      <c r="A24" s="111"/>
      <c r="B24" s="40" t="s">
        <v>43</v>
      </c>
      <c r="C24" s="41" t="s">
        <v>153</v>
      </c>
      <c r="D24" s="36"/>
      <c r="E24" s="37"/>
      <c r="F24" s="38"/>
      <c r="G24" s="144" t="s">
        <v>252</v>
      </c>
      <c r="H24" s="144" t="s">
        <v>252</v>
      </c>
      <c r="I24" s="51" t="s">
        <v>251</v>
      </c>
      <c r="J24" s="111"/>
      <c r="L24" s="202" t="b">
        <f t="shared" si="0"/>
        <v>1</v>
      </c>
      <c r="M24" s="202" t="b">
        <f t="shared" si="4"/>
        <v>1</v>
      </c>
      <c r="N24" s="202" t="b">
        <f t="shared" si="4"/>
        <v>0</v>
      </c>
      <c r="O24" s="202" t="b">
        <f t="shared" si="4"/>
        <v>0</v>
      </c>
      <c r="P24" s="202" t="b">
        <f t="shared" si="4"/>
        <v>0</v>
      </c>
      <c r="Q24" s="202" t="b">
        <f t="shared" si="4"/>
        <v>0</v>
      </c>
      <c r="R24" s="202" t="b">
        <f t="shared" si="4"/>
        <v>0</v>
      </c>
      <c r="S24" s="202" t="b">
        <f t="shared" si="4"/>
        <v>0</v>
      </c>
      <c r="T24" s="202" t="b">
        <f t="shared" si="2"/>
        <v>1</v>
      </c>
      <c r="U24" s="202" t="b">
        <f t="shared" si="3"/>
        <v>1</v>
      </c>
      <c r="V24" s="202" t="b">
        <f t="shared" si="3"/>
        <v>1</v>
      </c>
      <c r="X24" s="202" t="str">
        <f>BENEFIT_DESIGN!$B$30&amp;"+Co-ins"</f>
        <v>Deductible C+Co-ins</v>
      </c>
      <c r="Y24" s="202" t="b">
        <v>0</v>
      </c>
      <c r="Z24" s="202" t="b">
        <v>0</v>
      </c>
      <c r="AA24" s="202" t="b">
        <v>1</v>
      </c>
      <c r="AB24" s="202" t="b">
        <v>0</v>
      </c>
      <c r="AC24" s="202" t="b">
        <v>0</v>
      </c>
      <c r="AD24" s="202" t="b">
        <v>0</v>
      </c>
      <c r="AE24" s="202" t="b">
        <v>1</v>
      </c>
    </row>
    <row r="25" spans="1:31" x14ac:dyDescent="0.25">
      <c r="A25" s="111"/>
      <c r="B25" s="34" t="s">
        <v>44</v>
      </c>
      <c r="C25" s="35" t="s">
        <v>153</v>
      </c>
      <c r="D25" s="36"/>
      <c r="E25" s="42"/>
      <c r="F25" s="38"/>
      <c r="G25" s="143" t="s">
        <v>252</v>
      </c>
      <c r="H25" s="143" t="s">
        <v>252</v>
      </c>
      <c r="I25" s="50" t="s">
        <v>251</v>
      </c>
      <c r="J25" s="111"/>
      <c r="L25" s="202" t="b">
        <f t="shared" si="0"/>
        <v>1</v>
      </c>
      <c r="M25" s="202" t="b">
        <f t="shared" si="4"/>
        <v>1</v>
      </c>
      <c r="N25" s="202" t="b">
        <f t="shared" si="4"/>
        <v>0</v>
      </c>
      <c r="O25" s="202" t="b">
        <f t="shared" si="4"/>
        <v>0</v>
      </c>
      <c r="P25" s="202" t="b">
        <f t="shared" si="4"/>
        <v>0</v>
      </c>
      <c r="Q25" s="202" t="b">
        <f t="shared" si="4"/>
        <v>0</v>
      </c>
      <c r="R25" s="202" t="b">
        <f t="shared" si="4"/>
        <v>0</v>
      </c>
      <c r="S25" s="202" t="b">
        <f t="shared" si="4"/>
        <v>0</v>
      </c>
      <c r="T25" s="202" t="b">
        <f t="shared" si="2"/>
        <v>1</v>
      </c>
      <c r="U25" s="202" t="b">
        <f t="shared" si="3"/>
        <v>1</v>
      </c>
      <c r="V25" s="202" t="b">
        <f t="shared" si="3"/>
        <v>1</v>
      </c>
      <c r="X25" s="202" t="str">
        <f>BENEFIT_DESIGN!$B$31&amp;"+Co-ins"</f>
        <v>Deductible D+Co-ins</v>
      </c>
      <c r="Y25" s="202" t="b">
        <v>0</v>
      </c>
      <c r="Z25" s="202" t="b">
        <v>0</v>
      </c>
      <c r="AA25" s="202" t="b">
        <v>0</v>
      </c>
      <c r="AB25" s="202" t="b">
        <v>1</v>
      </c>
      <c r="AC25" s="202" t="b">
        <v>0</v>
      </c>
      <c r="AD25" s="202" t="b">
        <v>0</v>
      </c>
      <c r="AE25" s="202" t="b">
        <v>1</v>
      </c>
    </row>
    <row r="26" spans="1:31" x14ac:dyDescent="0.25">
      <c r="A26" s="111"/>
      <c r="B26" s="34" t="s">
        <v>253</v>
      </c>
      <c r="C26" s="35" t="s">
        <v>16</v>
      </c>
      <c r="D26" s="36"/>
      <c r="E26" s="42"/>
      <c r="F26" s="38"/>
      <c r="G26" s="143"/>
      <c r="H26" s="143"/>
      <c r="I26" s="50"/>
      <c r="J26" s="111"/>
      <c r="L26" s="202" t="b">
        <f t="shared" si="0"/>
        <v>1</v>
      </c>
      <c r="M26" s="202" t="b">
        <f t="shared" si="4"/>
        <v>0</v>
      </c>
      <c r="N26" s="202" t="b">
        <f t="shared" si="4"/>
        <v>0</v>
      </c>
      <c r="O26" s="202" t="b">
        <f t="shared" si="4"/>
        <v>0</v>
      </c>
      <c r="P26" s="202" t="b">
        <f t="shared" si="4"/>
        <v>0</v>
      </c>
      <c r="Q26" s="202" t="b">
        <f t="shared" si="4"/>
        <v>0</v>
      </c>
      <c r="R26" s="202" t="b">
        <f t="shared" si="4"/>
        <v>0</v>
      </c>
      <c r="S26" s="202" t="b">
        <f t="shared" si="4"/>
        <v>0</v>
      </c>
      <c r="T26" s="202" t="b">
        <f t="shared" si="2"/>
        <v>0</v>
      </c>
      <c r="U26" s="202" t="b">
        <f t="shared" si="3"/>
        <v>0</v>
      </c>
      <c r="V26" s="202" t="b">
        <f t="shared" si="3"/>
        <v>0</v>
      </c>
      <c r="X26" s="202" t="s">
        <v>145</v>
      </c>
      <c r="Y26" s="202" t="b">
        <v>0</v>
      </c>
      <c r="Z26" s="202" t="b">
        <v>0</v>
      </c>
      <c r="AA26" s="202" t="b">
        <v>0</v>
      </c>
      <c r="AB26" s="202" t="b">
        <v>0</v>
      </c>
      <c r="AC26" s="202" t="b">
        <v>1</v>
      </c>
      <c r="AD26" s="202" t="b">
        <v>0</v>
      </c>
      <c r="AE26" s="202" t="b">
        <v>1</v>
      </c>
    </row>
    <row r="27" spans="1:31" x14ac:dyDescent="0.25">
      <c r="A27" s="111"/>
      <c r="B27" s="34" t="s">
        <v>287</v>
      </c>
      <c r="C27" s="35" t="s">
        <v>16</v>
      </c>
      <c r="D27" s="36"/>
      <c r="E27" s="42"/>
      <c r="F27" s="38"/>
      <c r="G27" s="143"/>
      <c r="H27" s="143"/>
      <c r="I27" s="50"/>
      <c r="J27" s="111"/>
      <c r="L27" s="202" t="b">
        <f t="shared" si="0"/>
        <v>1</v>
      </c>
      <c r="M27" s="202" t="b">
        <f t="shared" si="4"/>
        <v>0</v>
      </c>
      <c r="N27" s="202" t="b">
        <f t="shared" si="4"/>
        <v>0</v>
      </c>
      <c r="O27" s="202" t="b">
        <f t="shared" si="4"/>
        <v>0</v>
      </c>
      <c r="P27" s="202" t="b">
        <f t="shared" si="4"/>
        <v>0</v>
      </c>
      <c r="Q27" s="202" t="b">
        <f t="shared" si="4"/>
        <v>0</v>
      </c>
      <c r="R27" s="202" t="b">
        <f t="shared" si="4"/>
        <v>0</v>
      </c>
      <c r="S27" s="202" t="b">
        <f t="shared" si="4"/>
        <v>0</v>
      </c>
      <c r="T27" s="202" t="b">
        <f t="shared" si="2"/>
        <v>0</v>
      </c>
      <c r="U27" s="202" t="b">
        <f t="shared" si="3"/>
        <v>0</v>
      </c>
      <c r="V27" s="202" t="b">
        <f t="shared" si="3"/>
        <v>0</v>
      </c>
    </row>
    <row r="28" spans="1:31" x14ac:dyDescent="0.25">
      <c r="A28" s="111"/>
      <c r="B28" s="34" t="s">
        <v>45</v>
      </c>
      <c r="C28" s="43">
        <v>1000</v>
      </c>
      <c r="D28" s="44"/>
      <c r="E28" s="44"/>
      <c r="F28" s="44"/>
      <c r="G28" s="39"/>
      <c r="H28" s="39"/>
      <c r="I28" s="52"/>
      <c r="J28" s="111"/>
      <c r="M28" s="202" t="b">
        <f>COUNTIF(M8:M27,TRUE)&gt;0</f>
        <v>1</v>
      </c>
    </row>
    <row r="29" spans="1:31" x14ac:dyDescent="0.25">
      <c r="A29" s="111"/>
      <c r="B29" s="116" t="s">
        <v>193</v>
      </c>
      <c r="C29" s="117">
        <v>100</v>
      </c>
      <c r="D29" s="118"/>
      <c r="E29" s="118"/>
      <c r="F29" s="118"/>
      <c r="G29" s="119"/>
      <c r="H29" s="119"/>
      <c r="I29" s="120"/>
      <c r="J29" s="111"/>
      <c r="N29" s="202" t="b">
        <f>COUNTIF(N8:N27,TRUE)&gt;0</f>
        <v>1</v>
      </c>
      <c r="X29" s="204"/>
    </row>
    <row r="30" spans="1:31" x14ac:dyDescent="0.25">
      <c r="A30" s="111"/>
      <c r="B30" s="116" t="s">
        <v>272</v>
      </c>
      <c r="C30" s="117">
        <v>500</v>
      </c>
      <c r="D30" s="118"/>
      <c r="E30" s="118"/>
      <c r="F30" s="118"/>
      <c r="G30" s="119"/>
      <c r="H30" s="119"/>
      <c r="I30" s="120"/>
      <c r="J30" s="111"/>
      <c r="O30" s="202" t="b">
        <f>COUNTIF(O8:O27,TRUE)&gt;0</f>
        <v>1</v>
      </c>
      <c r="X30" s="204"/>
    </row>
    <row r="31" spans="1:31" x14ac:dyDescent="0.25">
      <c r="A31" s="111"/>
      <c r="B31" s="116" t="s">
        <v>271</v>
      </c>
      <c r="C31" s="117"/>
      <c r="D31" s="118"/>
      <c r="E31" s="118"/>
      <c r="F31" s="118"/>
      <c r="G31" s="119"/>
      <c r="H31" s="119"/>
      <c r="I31" s="120"/>
      <c r="J31" s="111"/>
      <c r="P31" s="202" t="b">
        <f>COUNTIF(P8:P27,TRUE)&gt;0</f>
        <v>0</v>
      </c>
      <c r="X31" s="204"/>
    </row>
    <row r="32" spans="1:31" ht="15.75" thickBot="1" x14ac:dyDescent="0.3">
      <c r="A32" s="111"/>
      <c r="B32" s="45" t="s">
        <v>155</v>
      </c>
      <c r="C32" s="46">
        <v>5000</v>
      </c>
      <c r="D32" s="47"/>
      <c r="E32" s="48">
        <v>0</v>
      </c>
      <c r="F32" s="48"/>
      <c r="G32" s="49"/>
      <c r="H32" s="49"/>
      <c r="I32" s="53"/>
      <c r="J32" s="111"/>
      <c r="V32" s="202" t="b">
        <f>COUNTIF(V8:V27,TRUE)&gt;0</f>
        <v>1</v>
      </c>
    </row>
    <row r="33" spans="1:24" s="204" customFormat="1" x14ac:dyDescent="0.25">
      <c r="A33" s="138"/>
      <c r="B33" s="138" t="s">
        <v>241</v>
      </c>
      <c r="C33" s="138"/>
      <c r="D33" s="139"/>
      <c r="E33" s="139"/>
      <c r="F33" s="139"/>
      <c r="G33" s="140"/>
      <c r="H33" s="140"/>
      <c r="I33" s="138"/>
      <c r="J33" s="138"/>
      <c r="X33" s="202"/>
    </row>
    <row r="34" spans="1:24" s="204" customFormat="1" x14ac:dyDescent="0.25">
      <c r="A34" s="138"/>
      <c r="B34" s="138" t="s">
        <v>242</v>
      </c>
      <c r="C34" s="138"/>
      <c r="D34" s="139"/>
      <c r="E34" s="139"/>
      <c r="F34" s="139"/>
      <c r="G34" s="140"/>
      <c r="H34" s="140"/>
      <c r="I34" s="138"/>
      <c r="J34" s="138"/>
      <c r="X34" s="202"/>
    </row>
    <row r="35" spans="1:24" x14ac:dyDescent="0.25">
      <c r="A35" s="111"/>
      <c r="B35" s="111"/>
      <c r="C35" s="111"/>
      <c r="D35" s="112"/>
      <c r="E35" s="112"/>
      <c r="F35" s="112"/>
      <c r="G35" s="113"/>
      <c r="H35" s="113"/>
      <c r="I35" s="111"/>
      <c r="J35" s="111"/>
    </row>
    <row r="36" spans="1:24" hidden="1" x14ac:dyDescent="0.25">
      <c r="D36"/>
      <c r="E36"/>
      <c r="F36"/>
      <c r="G36"/>
      <c r="H36"/>
    </row>
  </sheetData>
  <conditionalFormatting sqref="D8:D27">
    <cfRule type="expression" dxfId="17" priority="2">
      <formula>$Q8=FALSE</formula>
    </cfRule>
  </conditionalFormatting>
  <conditionalFormatting sqref="F8:F27">
    <cfRule type="expression" dxfId="16" priority="4">
      <formula>$S8=FALSE</formula>
    </cfRule>
  </conditionalFormatting>
  <conditionalFormatting sqref="E8:E27">
    <cfRule type="expression" dxfId="15" priority="3">
      <formula>$R8=FALSE</formula>
    </cfRule>
  </conditionalFormatting>
  <conditionalFormatting sqref="G8:H27">
    <cfRule type="expression" dxfId="14" priority="25">
      <formula>$T8=FALSE</formula>
    </cfRule>
  </conditionalFormatting>
  <conditionalFormatting sqref="C28">
    <cfRule type="expression" dxfId="13" priority="27">
      <formula>$M$28=FALSE</formula>
    </cfRule>
  </conditionalFormatting>
  <conditionalFormatting sqref="C29">
    <cfRule type="expression" dxfId="12" priority="29">
      <formula>$N$29=FALSE</formula>
    </cfRule>
  </conditionalFormatting>
  <conditionalFormatting sqref="I8:I27">
    <cfRule type="expression" dxfId="11" priority="26">
      <formula>$V8=FALSE</formula>
    </cfRule>
  </conditionalFormatting>
  <conditionalFormatting sqref="C32">
    <cfRule type="expression" dxfId="10" priority="36">
      <formula>$V$32=FALSE</formula>
    </cfRule>
  </conditionalFormatting>
  <conditionalFormatting sqref="Y8:AE26">
    <cfRule type="expression" dxfId="9" priority="1">
      <formula>Y8</formula>
    </cfRule>
  </conditionalFormatting>
  <conditionalFormatting sqref="C30">
    <cfRule type="expression" dxfId="8" priority="30">
      <formula>$O$30=FALSE</formula>
    </cfRule>
  </conditionalFormatting>
  <conditionalFormatting sqref="C31">
    <cfRule type="expression" dxfId="7" priority="35">
      <formula>$P$31=FALSE</formula>
    </cfRule>
  </conditionalFormatting>
  <dataValidations count="2">
    <dataValidation type="list" allowBlank="1" showInputMessage="1" showErrorMessage="1" sqref="C8:C27">
      <formula1>CostShareType</formula1>
    </dataValidation>
    <dataValidation type="list" showInputMessage="1" showErrorMessage="1" errorTitle="Out-of-Pocket Limit Error" error="You must enter Yes or No._x000a_Blanks are not allowed." sqref="I8:I27">
      <formula1>"Yes,No"</formula1>
    </dataValidation>
  </dataValidation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ThisWorkbook.MultiPlanMode">
                <anchor moveWithCells="1" sizeWithCells="1">
                  <from>
                    <xdr:col>7</xdr:col>
                    <xdr:colOff>9525</xdr:colOff>
                    <xdr:row>0</xdr:row>
                    <xdr:rowOff>161925</xdr:rowOff>
                  </from>
                  <to>
                    <xdr:col>8</xdr:col>
                    <xdr:colOff>571500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ThisWorkbook.RunCalculator">
                <anchor moveWithCells="1" sizeWithCells="1">
                  <from>
                    <xdr:col>7</xdr:col>
                    <xdr:colOff>9525</xdr:colOff>
                    <xdr:row>2</xdr:row>
                    <xdr:rowOff>123825</xdr:rowOff>
                  </from>
                  <to>
                    <xdr:col>8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Button 3">
              <controlPr defaultSize="0" print="0" autoFill="0" autoPict="0" macro="[0]!ThisWorkbook.LoadPrevPlan">
                <anchor moveWithCells="1" sizeWithCells="1">
                  <from>
                    <xdr:col>3</xdr:col>
                    <xdr:colOff>9525</xdr:colOff>
                    <xdr:row>0</xdr:row>
                    <xdr:rowOff>161925</xdr:rowOff>
                  </from>
                  <to>
                    <xdr:col>4</xdr:col>
                    <xdr:colOff>9525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Button 4">
              <controlPr defaultSize="0" print="0" autoFill="0" autoPict="0" macro="[0]!ThisWorkbook.LoadNextPlan">
                <anchor moveWithCells="1" sizeWithCells="1">
                  <from>
                    <xdr:col>4</xdr:col>
                    <xdr:colOff>704850</xdr:colOff>
                    <xdr:row>0</xdr:row>
                    <xdr:rowOff>161925</xdr:rowOff>
                  </from>
                  <to>
                    <xdr:col>5</xdr:col>
                    <xdr:colOff>704850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" name="Button 5">
              <controlPr defaultSize="0" print="0" autoFill="0" autoPict="0" macro="[0]!ThisWorkbook.SavePlanInputData">
                <anchor moveWithCells="1" sizeWithCells="1">
                  <from>
                    <xdr:col>4</xdr:col>
                    <xdr:colOff>0</xdr:colOff>
                    <xdr:row>2</xdr:row>
                    <xdr:rowOff>133350</xdr:rowOff>
                  </from>
                  <to>
                    <xdr:col>4</xdr:col>
                    <xdr:colOff>695325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" name="Button 6">
              <controlPr defaultSize="0" print="0" autoFill="0" autoPict="0" macro="[0]!ThisWorkbook.SaveNewPlanInputData">
                <anchor moveWithCells="1" sizeWithCells="1">
                  <from>
                    <xdr:col>4</xdr:col>
                    <xdr:colOff>704850</xdr:colOff>
                    <xdr:row>2</xdr:row>
                    <xdr:rowOff>133350</xdr:rowOff>
                  </from>
                  <to>
                    <xdr:col>5</xdr:col>
                    <xdr:colOff>704850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0" name="Button 5">
              <controlPr defaultSize="0" print="0" autoFill="0" autoPict="0" macro="[0]!ThisWorkbook.ClearManualInputData">
                <anchor moveWithCells="1" sizeWithCells="1">
                  <from>
                    <xdr:col>3</xdr:col>
                    <xdr:colOff>0</xdr:colOff>
                    <xdr:row>2</xdr:row>
                    <xdr:rowOff>133350</xdr:rowOff>
                  </from>
                  <to>
                    <xdr:col>3</xdr:col>
                    <xdr:colOff>695325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U36"/>
  <sheetViews>
    <sheetView workbookViewId="0"/>
  </sheetViews>
  <sheetFormatPr defaultRowHeight="15" x14ac:dyDescent="0.25"/>
  <cols>
    <col min="1" max="1" width="3" customWidth="1"/>
    <col min="2" max="2" width="43.7109375" bestFit="1" customWidth="1"/>
    <col min="3" max="7" width="12.7109375" customWidth="1"/>
    <col min="8" max="10" width="12.7109375" style="25" customWidth="1"/>
    <col min="11" max="12" width="12.7109375" style="1" customWidth="1"/>
    <col min="13" max="13" width="12.7109375" customWidth="1"/>
    <col min="14" max="14" width="2.7109375" customWidth="1"/>
    <col min="15" max="17" width="12.7109375" style="25" customWidth="1"/>
    <col min="18" max="19" width="12.7109375" style="1" customWidth="1"/>
    <col min="20" max="20" width="12.7109375" customWidth="1"/>
    <col min="21" max="21" width="2.7109375" customWidth="1"/>
  </cols>
  <sheetData>
    <row r="1" spans="1:21" x14ac:dyDescent="0.25">
      <c r="A1" s="111"/>
      <c r="B1" s="111"/>
      <c r="C1" s="111"/>
      <c r="D1" s="111"/>
      <c r="E1" s="111"/>
      <c r="F1" s="111"/>
      <c r="G1" s="111"/>
      <c r="H1" s="112"/>
      <c r="I1" s="112"/>
      <c r="J1" s="112"/>
      <c r="K1" s="113"/>
      <c r="L1" s="113"/>
      <c r="M1" s="111"/>
      <c r="N1" s="111"/>
      <c r="O1" s="112"/>
      <c r="P1" s="112"/>
      <c r="Q1" s="112"/>
      <c r="R1" s="113"/>
      <c r="S1" s="113"/>
      <c r="T1" s="111"/>
      <c r="U1" s="111"/>
    </row>
    <row r="2" spans="1:21" x14ac:dyDescent="0.25">
      <c r="A2" s="111"/>
      <c r="B2" s="124"/>
      <c r="C2" s="111"/>
      <c r="D2" s="111"/>
      <c r="E2" s="111"/>
      <c r="F2" s="111"/>
      <c r="G2" s="111"/>
      <c r="H2" s="127"/>
      <c r="I2" s="137"/>
      <c r="J2" s="112"/>
      <c r="K2" s="113"/>
      <c r="L2" s="113"/>
      <c r="M2" s="111"/>
      <c r="N2" s="111"/>
      <c r="O2" s="127"/>
      <c r="P2" s="137"/>
      <c r="Q2" s="112"/>
      <c r="R2" s="113"/>
      <c r="S2" s="113"/>
      <c r="T2" s="111"/>
      <c r="U2" s="111"/>
    </row>
    <row r="3" spans="1:21" x14ac:dyDescent="0.25">
      <c r="A3" s="111"/>
      <c r="B3" s="111" t="s">
        <v>254</v>
      </c>
      <c r="C3" s="111"/>
      <c r="D3" s="111"/>
      <c r="E3" s="111"/>
      <c r="F3" s="111"/>
      <c r="G3" s="111"/>
      <c r="H3" s="114"/>
      <c r="I3" s="114"/>
      <c r="J3" s="114"/>
      <c r="K3" s="113"/>
      <c r="L3" s="113"/>
      <c r="M3" s="111"/>
      <c r="N3" s="111"/>
      <c r="O3" s="114"/>
      <c r="P3" s="114"/>
      <c r="Q3" s="114"/>
      <c r="R3" s="113"/>
      <c r="S3" s="113"/>
      <c r="T3" s="111"/>
      <c r="U3" s="111"/>
    </row>
    <row r="4" spans="1:21" x14ac:dyDescent="0.25">
      <c r="A4" s="111"/>
      <c r="B4" s="111"/>
      <c r="C4" s="111"/>
      <c r="D4" s="111"/>
      <c r="E4" s="111"/>
      <c r="F4" s="111"/>
      <c r="G4" s="111"/>
      <c r="H4" s="112"/>
      <c r="I4" s="112"/>
      <c r="J4" s="112"/>
      <c r="K4" s="113"/>
      <c r="L4" s="113"/>
      <c r="M4" s="111"/>
      <c r="N4" s="111"/>
      <c r="O4" s="112"/>
      <c r="P4" s="112"/>
      <c r="Q4" s="112"/>
      <c r="R4" s="113"/>
      <c r="S4" s="113"/>
      <c r="T4" s="111"/>
      <c r="U4" s="111"/>
    </row>
    <row r="5" spans="1:21" ht="15.75" thickBot="1" x14ac:dyDescent="0.3">
      <c r="A5" s="111"/>
      <c r="B5" s="111"/>
      <c r="C5" s="111"/>
      <c r="D5" s="111"/>
      <c r="E5" s="111"/>
      <c r="F5" s="111"/>
      <c r="G5" s="111"/>
      <c r="H5" s="112"/>
      <c r="I5" s="112"/>
      <c r="J5" s="112"/>
      <c r="K5" s="113"/>
      <c r="L5" s="113"/>
      <c r="M5" s="111"/>
      <c r="N5" s="111"/>
      <c r="O5" s="112" t="s">
        <v>308</v>
      </c>
      <c r="P5" s="112"/>
      <c r="Q5" s="112"/>
      <c r="R5" s="113"/>
      <c r="S5" s="113"/>
      <c r="T5" s="111"/>
      <c r="U5" s="111"/>
    </row>
    <row r="6" spans="1:21" x14ac:dyDescent="0.25">
      <c r="A6" s="111"/>
      <c r="B6" s="26" t="s">
        <v>235</v>
      </c>
      <c r="C6" s="146"/>
      <c r="D6" s="27"/>
      <c r="E6" s="146"/>
      <c r="F6" s="146"/>
      <c r="G6" s="146"/>
      <c r="H6" s="28" t="s">
        <v>240</v>
      </c>
      <c r="I6" s="29"/>
      <c r="J6" s="29"/>
      <c r="K6" s="28" t="s">
        <v>146</v>
      </c>
      <c r="L6" s="29"/>
      <c r="M6" s="58" t="s">
        <v>186</v>
      </c>
      <c r="N6" s="111"/>
      <c r="O6" s="161" t="s">
        <v>240</v>
      </c>
      <c r="P6" s="29"/>
      <c r="Q6" s="29"/>
      <c r="R6" s="28" t="s">
        <v>146</v>
      </c>
      <c r="S6" s="29"/>
      <c r="T6" s="58"/>
      <c r="U6" s="111"/>
    </row>
    <row r="7" spans="1:21" ht="30.75" thickBot="1" x14ac:dyDescent="0.3">
      <c r="A7" s="111"/>
      <c r="B7" s="30" t="s">
        <v>9</v>
      </c>
      <c r="C7" s="147" t="s">
        <v>283</v>
      </c>
      <c r="D7" s="31" t="s">
        <v>45</v>
      </c>
      <c r="E7" s="147" t="s">
        <v>193</v>
      </c>
      <c r="F7" s="147" t="s">
        <v>272</v>
      </c>
      <c r="G7" s="147" t="s">
        <v>271</v>
      </c>
      <c r="H7" s="32" t="s">
        <v>144</v>
      </c>
      <c r="I7" s="31" t="s">
        <v>4</v>
      </c>
      <c r="J7" s="31" t="s">
        <v>11</v>
      </c>
      <c r="K7" s="59" t="s">
        <v>148</v>
      </c>
      <c r="L7" s="60" t="s">
        <v>149</v>
      </c>
      <c r="M7" s="33" t="s">
        <v>187</v>
      </c>
      <c r="N7" s="111"/>
      <c r="O7" s="162" t="s">
        <v>256</v>
      </c>
      <c r="P7" s="31" t="s">
        <v>257</v>
      </c>
      <c r="Q7" s="31" t="s">
        <v>258</v>
      </c>
      <c r="R7" s="59" t="s">
        <v>259</v>
      </c>
      <c r="S7" s="60" t="s">
        <v>260</v>
      </c>
      <c r="T7" s="33" t="s">
        <v>261</v>
      </c>
      <c r="U7" s="111"/>
    </row>
    <row r="8" spans="1:21" x14ac:dyDescent="0.25">
      <c r="A8" s="111"/>
      <c r="B8" s="156" t="str">
        <f>BENEFIT_DESIGN!B8</f>
        <v>Inpatient Hospital Care (Facility)</v>
      </c>
      <c r="C8" s="157" t="b">
        <f>IF(BENEFIT_DESIGN!L8,FALSE,TRUE)</f>
        <v>0</v>
      </c>
      <c r="D8" s="157" t="b">
        <f>IFERROR(IF(BENEFIT_DESIGN!M8,IF(BENEFIT_PARAMETERS!C8=0,TRUE,FALSE),IF(BENEFIT_PARAMETERS!C8=0,FALSE,TRUE)),TRUE)</f>
        <v>0</v>
      </c>
      <c r="E8" s="157" t="b">
        <f>IF(BENEFIT_DESIGN!N8,IF(BENEFIT_PARAMETERS!D8=0,TRUE,FALSE),IF(BENEFIT_PARAMETERS!D8=0,FALSE,TRUE))</f>
        <v>0</v>
      </c>
      <c r="F8" s="157" t="b">
        <f>IF(BENEFIT_DESIGN!O8,IF(BENEFIT_PARAMETERS!E8=0,TRUE,FALSE),IF(BENEFIT_PARAMETERS!E8=0,FALSE,TRUE))</f>
        <v>0</v>
      </c>
      <c r="G8" s="157" t="b">
        <f>IF(BENEFIT_DESIGN!P8,IF(BENEFIT_PARAMETERS!F8=0,TRUE,FALSE),IF(BENEFIT_PARAMETERS!F8=0,FALSE,TRUE))</f>
        <v>0</v>
      </c>
      <c r="H8" s="157" t="b">
        <f>IF(BENEFIT_DESIGN!Q8,IF(BENEFIT_PARAMETERS!H8=0,TRUE,FALSE),IF(O8,FALSE,TRUE))</f>
        <v>0</v>
      </c>
      <c r="I8" s="157" t="b">
        <f>IF(BENEFIT_DESIGN!R8,IF(BENEFIT_PARAMETERS!I8&lt;=0,TRUE,FALSE),IF(P8,FALSE,TRUE))</f>
        <v>0</v>
      </c>
      <c r="J8" s="157" t="b">
        <f>IF(BENEFIT_DESIGN!S8,IF(BENEFIT_PARAMETERS!J8&lt;=0,TRUE,FALSE),IF(Q8,FALSE,TRUE))</f>
        <v>0</v>
      </c>
      <c r="K8" s="157" t="b">
        <f>IF(BENEFIT_DESIGN!T8,IF(BENEFIT_PARAMETERS!K8="None",FALSE,IF(BENEFIT_PARAMETERS!K8&gt;0,FALSE,TRUE)),IF(R8,FALSE,TRUE))</f>
        <v>0</v>
      </c>
      <c r="L8" s="157" t="b">
        <f>IF(BENEFIT_DESIGN!U8,IF(BENEFIT_PARAMETERS!L8="None",FALSE,IF(BENEFIT_PARAMETERS!L8&gt;0,FALSE,TRUE)),IF(S8,FALSE,TRUE))</f>
        <v>0</v>
      </c>
      <c r="M8" s="158" t="b">
        <f>IF(BENEFIT_DESIGN!V8,IF(BENEFIT_PARAMETERS!M8="Yes",FALSE,IF(BENEFIT_PARAMETERS!M8="No",FALSE,TRUE)),IF(T8,FALSE,TRUE))</f>
        <v>0</v>
      </c>
      <c r="N8" s="111"/>
      <c r="O8" s="166" t="b">
        <f>ISBLANK(BENEFIT_DESIGN!D8)</f>
        <v>1</v>
      </c>
      <c r="P8" s="167" t="b">
        <f>ISBLANK(BENEFIT_DESIGN!E8)</f>
        <v>1</v>
      </c>
      <c r="Q8" s="167" t="b">
        <f>ISBLANK(BENEFIT_DESIGN!F8)</f>
        <v>1</v>
      </c>
      <c r="R8" s="167" t="b">
        <f>ISBLANK(BENEFIT_DESIGN!G8)</f>
        <v>0</v>
      </c>
      <c r="S8" s="167" t="b">
        <f>ISBLANK(BENEFIT_DESIGN!H8)</f>
        <v>0</v>
      </c>
      <c r="T8" s="168" t="b">
        <f>ISBLANK(BENEFIT_DESIGN!I8)</f>
        <v>0</v>
      </c>
      <c r="U8" s="111"/>
    </row>
    <row r="9" spans="1:21" x14ac:dyDescent="0.25">
      <c r="A9" s="111"/>
      <c r="B9" s="34" t="str">
        <f>BENEFIT_DESIGN!B9</f>
        <v>Other Facility Services</v>
      </c>
      <c r="C9" s="159" t="b">
        <f>IF(BENEFIT_DESIGN!L9,FALSE,TRUE)</f>
        <v>0</v>
      </c>
      <c r="D9" s="159" t="b">
        <f>IFERROR(IF(BENEFIT_DESIGN!M9,IF(BENEFIT_PARAMETERS!C9=0,TRUE,FALSE),IF(BENEFIT_PARAMETERS!C9=0,FALSE,TRUE)),TRUE)</f>
        <v>0</v>
      </c>
      <c r="E9" s="159" t="b">
        <f>IF(BENEFIT_DESIGN!N9,IF(BENEFIT_PARAMETERS!D9=0,TRUE,FALSE),IF(BENEFIT_PARAMETERS!D9=0,FALSE,TRUE))</f>
        <v>0</v>
      </c>
      <c r="F9" s="159" t="b">
        <f>IF(BENEFIT_DESIGN!O9,IF(BENEFIT_PARAMETERS!E9=0,TRUE,FALSE),IF(BENEFIT_PARAMETERS!E9=0,FALSE,TRUE))</f>
        <v>0</v>
      </c>
      <c r="G9" s="159" t="b">
        <f>IF(BENEFIT_DESIGN!P9,IF(BENEFIT_PARAMETERS!F9=0,TRUE,FALSE),IF(BENEFIT_PARAMETERS!F9=0,FALSE,TRUE))</f>
        <v>0</v>
      </c>
      <c r="H9" s="159" t="b">
        <f>IF(BENEFIT_DESIGN!Q9,IF(BENEFIT_PARAMETERS!H9=0,TRUE,FALSE),IF(O9,FALSE,TRUE))</f>
        <v>0</v>
      </c>
      <c r="I9" s="159" t="b">
        <f>IF(BENEFIT_DESIGN!R9,IF(BENEFIT_PARAMETERS!I9&lt;=0,TRUE,FALSE),IF(P9,FALSE,TRUE))</f>
        <v>0</v>
      </c>
      <c r="J9" s="159" t="b">
        <f>IF(BENEFIT_DESIGN!S9,IF(BENEFIT_PARAMETERS!J9&lt;=0,TRUE,FALSE),IF(Q9,FALSE,TRUE))</f>
        <v>0</v>
      </c>
      <c r="K9" s="159" t="b">
        <f>IF(BENEFIT_DESIGN!T9,IF(BENEFIT_PARAMETERS!K9="None",FALSE,IF(BENEFIT_PARAMETERS!K9&gt;0,FALSE,TRUE)),IF(R9,FALSE,TRUE))</f>
        <v>0</v>
      </c>
      <c r="L9" s="159" t="b">
        <f>IF(BENEFIT_DESIGN!U9,IF(BENEFIT_PARAMETERS!L9="None",FALSE,IF(BENEFIT_PARAMETERS!L9&gt;0,FALSE,TRUE)),IF(S9,FALSE,TRUE))</f>
        <v>0</v>
      </c>
      <c r="M9" s="160" t="b">
        <f>IF(BENEFIT_DESIGN!V9,IF(BENEFIT_PARAMETERS!M9="Yes",FALSE,IF(BENEFIT_PARAMETERS!M9="No",FALSE,TRUE)),IF(T9,FALSE,TRUE))</f>
        <v>0</v>
      </c>
      <c r="N9" s="111"/>
      <c r="O9" s="169" t="b">
        <f>ISBLANK(BENEFIT_DESIGN!D9)</f>
        <v>1</v>
      </c>
      <c r="P9" s="170" t="b">
        <f>ISBLANK(BENEFIT_DESIGN!E9)</f>
        <v>1</v>
      </c>
      <c r="Q9" s="170" t="b">
        <f>ISBLANK(BENEFIT_DESIGN!F9)</f>
        <v>1</v>
      </c>
      <c r="R9" s="170" t="b">
        <f>ISBLANK(BENEFIT_DESIGN!G9)</f>
        <v>0</v>
      </c>
      <c r="S9" s="170" t="b">
        <f>ISBLANK(BENEFIT_DESIGN!H9)</f>
        <v>0</v>
      </c>
      <c r="T9" s="171" t="b">
        <f>ISBLANK(BENEFIT_DESIGN!I9)</f>
        <v>0</v>
      </c>
      <c r="U9" s="111"/>
    </row>
    <row r="10" spans="1:21" x14ac:dyDescent="0.25">
      <c r="A10" s="111"/>
      <c r="B10" s="34" t="str">
        <f>BENEFIT_DESIGN!B10</f>
        <v>Emergency Department (Facility)</v>
      </c>
      <c r="C10" s="159" t="b">
        <f>IF(BENEFIT_DESIGN!L10,FALSE,TRUE)</f>
        <v>0</v>
      </c>
      <c r="D10" s="159" t="b">
        <f>IFERROR(IF(BENEFIT_DESIGN!M10,IF(BENEFIT_PARAMETERS!C10=0,TRUE,FALSE),IF(BENEFIT_PARAMETERS!C10=0,FALSE,TRUE)),TRUE)</f>
        <v>0</v>
      </c>
      <c r="E10" s="159" t="b">
        <f>IF(BENEFIT_DESIGN!N10,IF(BENEFIT_PARAMETERS!D10=0,TRUE,FALSE),IF(BENEFIT_PARAMETERS!D10=0,FALSE,TRUE))</f>
        <v>0</v>
      </c>
      <c r="F10" s="159" t="b">
        <f>IF(BENEFIT_DESIGN!O10,IF(BENEFIT_PARAMETERS!E10=0,TRUE,FALSE),IF(BENEFIT_PARAMETERS!E10=0,FALSE,TRUE))</f>
        <v>0</v>
      </c>
      <c r="G10" s="159" t="b">
        <f>IF(BENEFIT_DESIGN!P10,IF(BENEFIT_PARAMETERS!F10=0,TRUE,FALSE),IF(BENEFIT_PARAMETERS!F10=0,FALSE,TRUE))</f>
        <v>0</v>
      </c>
      <c r="H10" s="159" t="b">
        <f>IF(BENEFIT_DESIGN!Q10,IF(BENEFIT_PARAMETERS!H10=0,TRUE,FALSE),IF(O10,FALSE,TRUE))</f>
        <v>0</v>
      </c>
      <c r="I10" s="159" t="b">
        <f>IF(BENEFIT_DESIGN!R10,IF(BENEFIT_PARAMETERS!I10&lt;=0,TRUE,FALSE),IF(P10,FALSE,TRUE))</f>
        <v>0</v>
      </c>
      <c r="J10" s="159" t="b">
        <f>IF(BENEFIT_DESIGN!S10,IF(BENEFIT_PARAMETERS!J10&lt;=0,TRUE,FALSE),IF(Q10,FALSE,TRUE))</f>
        <v>0</v>
      </c>
      <c r="K10" s="159" t="b">
        <f>IF(BENEFIT_DESIGN!T10,IF(BENEFIT_PARAMETERS!K10="None",FALSE,IF(BENEFIT_PARAMETERS!K10&gt;0,FALSE,TRUE)),IF(R10,FALSE,TRUE))</f>
        <v>0</v>
      </c>
      <c r="L10" s="159" t="b">
        <f>IF(BENEFIT_DESIGN!U10,IF(BENEFIT_PARAMETERS!L10="None",FALSE,IF(BENEFIT_PARAMETERS!L10&gt;0,FALSE,TRUE)),IF(S10,FALSE,TRUE))</f>
        <v>0</v>
      </c>
      <c r="M10" s="160" t="b">
        <f>IF(BENEFIT_DESIGN!V10,IF(BENEFIT_PARAMETERS!M10="Yes",FALSE,IF(BENEFIT_PARAMETERS!M10="No",FALSE,TRUE)),IF(T10,FALSE,TRUE))</f>
        <v>0</v>
      </c>
      <c r="N10" s="111"/>
      <c r="O10" s="169" t="b">
        <f>ISBLANK(BENEFIT_DESIGN!D10)</f>
        <v>1</v>
      </c>
      <c r="P10" s="170" t="b">
        <f>ISBLANK(BENEFIT_DESIGN!E10)</f>
        <v>1</v>
      </c>
      <c r="Q10" s="170" t="b">
        <f>ISBLANK(BENEFIT_DESIGN!F10)</f>
        <v>1</v>
      </c>
      <c r="R10" s="170" t="b">
        <f>ISBLANK(BENEFIT_DESIGN!G10)</f>
        <v>0</v>
      </c>
      <c r="S10" s="170" t="b">
        <f>ISBLANK(BENEFIT_DESIGN!H10)</f>
        <v>0</v>
      </c>
      <c r="T10" s="171" t="b">
        <f>ISBLANK(BENEFIT_DESIGN!I10)</f>
        <v>0</v>
      </c>
      <c r="U10" s="111"/>
    </row>
    <row r="11" spans="1:21" x14ac:dyDescent="0.25">
      <c r="A11" s="111"/>
      <c r="B11" s="34" t="str">
        <f>BENEFIT_DESIGN!B11</f>
        <v>Ambulance</v>
      </c>
      <c r="C11" s="159" t="b">
        <f>IF(BENEFIT_DESIGN!L11,FALSE,TRUE)</f>
        <v>0</v>
      </c>
      <c r="D11" s="159" t="b">
        <f>IFERROR(IF(BENEFIT_DESIGN!M11,IF(BENEFIT_PARAMETERS!C11=0,TRUE,FALSE),IF(BENEFIT_PARAMETERS!C11=0,FALSE,TRUE)),TRUE)</f>
        <v>0</v>
      </c>
      <c r="E11" s="159" t="b">
        <f>IF(BENEFIT_DESIGN!N11,IF(BENEFIT_PARAMETERS!D11=0,TRUE,FALSE),IF(BENEFIT_PARAMETERS!D11=0,FALSE,TRUE))</f>
        <v>0</v>
      </c>
      <c r="F11" s="159" t="b">
        <f>IF(BENEFIT_DESIGN!O11,IF(BENEFIT_PARAMETERS!E11=0,TRUE,FALSE),IF(BENEFIT_PARAMETERS!E11=0,FALSE,TRUE))</f>
        <v>0</v>
      </c>
      <c r="G11" s="159" t="b">
        <f>IF(BENEFIT_DESIGN!P11,IF(BENEFIT_PARAMETERS!F11=0,TRUE,FALSE),IF(BENEFIT_PARAMETERS!F11=0,FALSE,TRUE))</f>
        <v>0</v>
      </c>
      <c r="H11" s="159" t="b">
        <f>IF(BENEFIT_DESIGN!Q11,IF(BENEFIT_PARAMETERS!H11=0,TRUE,FALSE),IF(O11,FALSE,TRUE))</f>
        <v>0</v>
      </c>
      <c r="I11" s="159" t="b">
        <f>IF(BENEFIT_DESIGN!R11,IF(BENEFIT_PARAMETERS!I11&lt;=0,TRUE,FALSE),IF(P11,FALSE,TRUE))</f>
        <v>0</v>
      </c>
      <c r="J11" s="159" t="b">
        <f>IF(BENEFIT_DESIGN!S11,IF(BENEFIT_PARAMETERS!J11&lt;=0,TRUE,FALSE),IF(Q11,FALSE,TRUE))</f>
        <v>0</v>
      </c>
      <c r="K11" s="159" t="b">
        <f>IF(BENEFIT_DESIGN!T11,IF(BENEFIT_PARAMETERS!K11="None",FALSE,IF(BENEFIT_PARAMETERS!K11&gt;0,FALSE,TRUE)),IF(R11,FALSE,TRUE))</f>
        <v>0</v>
      </c>
      <c r="L11" s="159" t="b">
        <f>IF(BENEFIT_DESIGN!U11,IF(BENEFIT_PARAMETERS!L11="None",FALSE,IF(BENEFIT_PARAMETERS!L11&gt;0,FALSE,TRUE)),IF(S11,FALSE,TRUE))</f>
        <v>0</v>
      </c>
      <c r="M11" s="160" t="b">
        <f>IF(BENEFIT_DESIGN!V11,IF(BENEFIT_PARAMETERS!M11="Yes",FALSE,IF(BENEFIT_PARAMETERS!M11="No",FALSE,TRUE)),IF(T11,FALSE,TRUE))</f>
        <v>0</v>
      </c>
      <c r="N11" s="111"/>
      <c r="O11" s="169" t="b">
        <f>ISBLANK(BENEFIT_DESIGN!D11)</f>
        <v>1</v>
      </c>
      <c r="P11" s="170" t="b">
        <f>ISBLANK(BENEFIT_DESIGN!E11)</f>
        <v>1</v>
      </c>
      <c r="Q11" s="170" t="b">
        <f>ISBLANK(BENEFIT_DESIGN!F11)</f>
        <v>1</v>
      </c>
      <c r="R11" s="170" t="b">
        <f>ISBLANK(BENEFIT_DESIGN!G11)</f>
        <v>0</v>
      </c>
      <c r="S11" s="170" t="b">
        <f>ISBLANK(BENEFIT_DESIGN!H11)</f>
        <v>0</v>
      </c>
      <c r="T11" s="171" t="b">
        <f>ISBLANK(BENEFIT_DESIGN!I11)</f>
        <v>0</v>
      </c>
      <c r="U11" s="111"/>
    </row>
    <row r="12" spans="1:21" x14ac:dyDescent="0.25">
      <c r="A12" s="111"/>
      <c r="B12" s="34" t="str">
        <f>BENEFIT_DESIGN!B12</f>
        <v>Professional Services: Primary Care</v>
      </c>
      <c r="C12" s="159" t="b">
        <f>IF(BENEFIT_DESIGN!L12,FALSE,TRUE)</f>
        <v>0</v>
      </c>
      <c r="D12" s="159" t="b">
        <f>IFERROR(IF(BENEFIT_DESIGN!M12,IF(BENEFIT_PARAMETERS!C12=0,TRUE,FALSE),IF(BENEFIT_PARAMETERS!C12=0,FALSE,TRUE)),TRUE)</f>
        <v>0</v>
      </c>
      <c r="E12" s="159" t="b">
        <f>IF(BENEFIT_DESIGN!N12,IF(BENEFIT_PARAMETERS!D12=0,TRUE,FALSE),IF(BENEFIT_PARAMETERS!D12=0,FALSE,TRUE))</f>
        <v>0</v>
      </c>
      <c r="F12" s="159" t="b">
        <f>IF(BENEFIT_DESIGN!O12,IF(BENEFIT_PARAMETERS!E12=0,TRUE,FALSE),IF(BENEFIT_PARAMETERS!E12=0,FALSE,TRUE))</f>
        <v>0</v>
      </c>
      <c r="G12" s="159" t="b">
        <f>IF(BENEFIT_DESIGN!P12,IF(BENEFIT_PARAMETERS!F12=0,TRUE,FALSE),IF(BENEFIT_PARAMETERS!F12=0,FALSE,TRUE))</f>
        <v>0</v>
      </c>
      <c r="H12" s="159" t="b">
        <f>IF(BENEFIT_DESIGN!Q12,IF(BENEFIT_PARAMETERS!H12=0,TRUE,FALSE),IF(O12,FALSE,TRUE))</f>
        <v>0</v>
      </c>
      <c r="I12" s="159" t="b">
        <f>IF(BENEFIT_DESIGN!R12,IF(BENEFIT_PARAMETERS!I12&lt;=0,TRUE,FALSE),IF(P12,FALSE,TRUE))</f>
        <v>0</v>
      </c>
      <c r="J12" s="159" t="b">
        <f>IF(BENEFIT_DESIGN!S12,IF(BENEFIT_PARAMETERS!J12&lt;=0,TRUE,FALSE),IF(Q12,FALSE,TRUE))</f>
        <v>0</v>
      </c>
      <c r="K12" s="159" t="b">
        <f>IF(BENEFIT_DESIGN!T12,IF(BENEFIT_PARAMETERS!K12="None",FALSE,IF(BENEFIT_PARAMETERS!K12&gt;0,FALSE,TRUE)),IF(R12,FALSE,TRUE))</f>
        <v>0</v>
      </c>
      <c r="L12" s="159" t="b">
        <f>IF(BENEFIT_DESIGN!U12,IF(BENEFIT_PARAMETERS!L12="None",FALSE,IF(BENEFIT_PARAMETERS!L12&gt;0,FALSE,TRUE)),IF(S12,FALSE,TRUE))</f>
        <v>0</v>
      </c>
      <c r="M12" s="160" t="b">
        <f>IF(BENEFIT_DESIGN!V12,IF(BENEFIT_PARAMETERS!M12="Yes",FALSE,IF(BENEFIT_PARAMETERS!M12="No",FALSE,TRUE)),IF(T12,FALSE,TRUE))</f>
        <v>0</v>
      </c>
      <c r="N12" s="111"/>
      <c r="O12" s="169" t="b">
        <f>ISBLANK(BENEFIT_DESIGN!D12)</f>
        <v>1</v>
      </c>
      <c r="P12" s="170" t="b">
        <f>ISBLANK(BENEFIT_DESIGN!E12)</f>
        <v>0</v>
      </c>
      <c r="Q12" s="170" t="b">
        <f>ISBLANK(BENEFIT_DESIGN!F12)</f>
        <v>1</v>
      </c>
      <c r="R12" s="170" t="b">
        <f>ISBLANK(BENEFIT_DESIGN!G12)</f>
        <v>0</v>
      </c>
      <c r="S12" s="170" t="b">
        <f>ISBLANK(BENEFIT_DESIGN!H12)</f>
        <v>0</v>
      </c>
      <c r="T12" s="171" t="b">
        <f>ISBLANK(BENEFIT_DESIGN!I12)</f>
        <v>0</v>
      </c>
      <c r="U12" s="111"/>
    </row>
    <row r="13" spans="1:21" x14ac:dyDescent="0.25">
      <c r="A13" s="111"/>
      <c r="B13" s="34" t="str">
        <f>BENEFIT_DESIGN!B13</f>
        <v>Professional Services: Emergency Department</v>
      </c>
      <c r="C13" s="159" t="b">
        <f>IF(BENEFIT_DESIGN!L13,FALSE,TRUE)</f>
        <v>0</v>
      </c>
      <c r="D13" s="159" t="b">
        <f>IFERROR(IF(BENEFIT_DESIGN!M13,IF(BENEFIT_PARAMETERS!C13=0,TRUE,FALSE),IF(BENEFIT_PARAMETERS!C13=0,FALSE,TRUE)),TRUE)</f>
        <v>0</v>
      </c>
      <c r="E13" s="159" t="b">
        <f>IF(BENEFIT_DESIGN!N13,IF(BENEFIT_PARAMETERS!D13=0,TRUE,FALSE),IF(BENEFIT_PARAMETERS!D13=0,FALSE,TRUE))</f>
        <v>0</v>
      </c>
      <c r="F13" s="159" t="b">
        <f>IF(BENEFIT_DESIGN!O13,IF(BENEFIT_PARAMETERS!E13=0,TRUE,FALSE),IF(BENEFIT_PARAMETERS!E13=0,FALSE,TRUE))</f>
        <v>0</v>
      </c>
      <c r="G13" s="159" t="b">
        <f>IF(BENEFIT_DESIGN!P13,IF(BENEFIT_PARAMETERS!F13=0,TRUE,FALSE),IF(BENEFIT_PARAMETERS!F13=0,FALSE,TRUE))</f>
        <v>0</v>
      </c>
      <c r="H13" s="159" t="b">
        <f>IF(BENEFIT_DESIGN!Q13,IF(BENEFIT_PARAMETERS!H13=0,TRUE,FALSE),IF(O13,FALSE,TRUE))</f>
        <v>0</v>
      </c>
      <c r="I13" s="159" t="b">
        <f>IF(BENEFIT_DESIGN!R13,IF(BENEFIT_PARAMETERS!I13&lt;=0,TRUE,FALSE),IF(P13,FALSE,TRUE))</f>
        <v>0</v>
      </c>
      <c r="J13" s="159" t="b">
        <f>IF(BENEFIT_DESIGN!S13,IF(BENEFIT_PARAMETERS!J13&lt;=0,TRUE,FALSE),IF(Q13,FALSE,TRUE))</f>
        <v>0</v>
      </c>
      <c r="K13" s="159" t="b">
        <f>IF(BENEFIT_DESIGN!T13,IF(BENEFIT_PARAMETERS!K13="None",FALSE,IF(BENEFIT_PARAMETERS!K13&gt;0,FALSE,TRUE)),IF(R13,FALSE,TRUE))</f>
        <v>0</v>
      </c>
      <c r="L13" s="159" t="b">
        <f>IF(BENEFIT_DESIGN!U13,IF(BENEFIT_PARAMETERS!L13="None",FALSE,IF(BENEFIT_PARAMETERS!L13&gt;0,FALSE,TRUE)),IF(S13,FALSE,TRUE))</f>
        <v>0</v>
      </c>
      <c r="M13" s="160" t="b">
        <f>IF(BENEFIT_DESIGN!V13,IF(BENEFIT_PARAMETERS!M13="Yes",FALSE,IF(BENEFIT_PARAMETERS!M13="No",FALSE,TRUE)),IF(T13,FALSE,TRUE))</f>
        <v>0</v>
      </c>
      <c r="N13" s="111"/>
      <c r="O13" s="169" t="b">
        <f>ISBLANK(BENEFIT_DESIGN!D13)</f>
        <v>1</v>
      </c>
      <c r="P13" s="170" t="b">
        <f>ISBLANK(BENEFIT_DESIGN!E13)</f>
        <v>1</v>
      </c>
      <c r="Q13" s="170" t="b">
        <f>ISBLANK(BENEFIT_DESIGN!F13)</f>
        <v>1</v>
      </c>
      <c r="R13" s="170" t="b">
        <f>ISBLANK(BENEFIT_DESIGN!G13)</f>
        <v>0</v>
      </c>
      <c r="S13" s="170" t="b">
        <f>ISBLANK(BENEFIT_DESIGN!H13)</f>
        <v>0</v>
      </c>
      <c r="T13" s="171" t="b">
        <f>ISBLANK(BENEFIT_DESIGN!I13)</f>
        <v>0</v>
      </c>
      <c r="U13" s="111"/>
    </row>
    <row r="14" spans="1:21" x14ac:dyDescent="0.25">
      <c r="A14" s="111"/>
      <c r="B14" s="34" t="str">
        <f>BENEFIT_DESIGN!B14</f>
        <v>Professional Services: Specialist</v>
      </c>
      <c r="C14" s="159" t="b">
        <f>IF(BENEFIT_DESIGN!L14,FALSE,TRUE)</f>
        <v>0</v>
      </c>
      <c r="D14" s="159" t="b">
        <f>IFERROR(IF(BENEFIT_DESIGN!M14,IF(BENEFIT_PARAMETERS!C14=0,TRUE,FALSE),IF(BENEFIT_PARAMETERS!C14=0,FALSE,TRUE)),TRUE)</f>
        <v>0</v>
      </c>
      <c r="E14" s="159" t="b">
        <f>IF(BENEFIT_DESIGN!N14,IF(BENEFIT_PARAMETERS!D14=0,TRUE,FALSE),IF(BENEFIT_PARAMETERS!D14=0,FALSE,TRUE))</f>
        <v>0</v>
      </c>
      <c r="F14" s="159" t="b">
        <f>IF(BENEFIT_DESIGN!O14,IF(BENEFIT_PARAMETERS!E14=0,TRUE,FALSE),IF(BENEFIT_PARAMETERS!E14=0,FALSE,TRUE))</f>
        <v>0</v>
      </c>
      <c r="G14" s="159" t="b">
        <f>IF(BENEFIT_DESIGN!P14,IF(BENEFIT_PARAMETERS!F14=0,TRUE,FALSE),IF(BENEFIT_PARAMETERS!F14=0,FALSE,TRUE))</f>
        <v>0</v>
      </c>
      <c r="H14" s="159" t="b">
        <f>IF(BENEFIT_DESIGN!Q14,IF(BENEFIT_PARAMETERS!H14=0,TRUE,FALSE),IF(O14,FALSE,TRUE))</f>
        <v>0</v>
      </c>
      <c r="I14" s="159" t="b">
        <f>IF(BENEFIT_DESIGN!R14,IF(BENEFIT_PARAMETERS!I14&lt;=0,TRUE,FALSE),IF(P14,FALSE,TRUE))</f>
        <v>0</v>
      </c>
      <c r="J14" s="159" t="b">
        <f>IF(BENEFIT_DESIGN!S14,IF(BENEFIT_PARAMETERS!J14&lt;=0,TRUE,FALSE),IF(Q14,FALSE,TRUE))</f>
        <v>0</v>
      </c>
      <c r="K14" s="159" t="b">
        <f>IF(BENEFIT_DESIGN!T14,IF(BENEFIT_PARAMETERS!K14="None",FALSE,IF(BENEFIT_PARAMETERS!K14&gt;0,FALSE,TRUE)),IF(R14,FALSE,TRUE))</f>
        <v>0</v>
      </c>
      <c r="L14" s="159" t="b">
        <f>IF(BENEFIT_DESIGN!U14,IF(BENEFIT_PARAMETERS!L14="None",FALSE,IF(BENEFIT_PARAMETERS!L14&gt;0,FALSE,TRUE)),IF(S14,FALSE,TRUE))</f>
        <v>0</v>
      </c>
      <c r="M14" s="160" t="b">
        <f>IF(BENEFIT_DESIGN!V14,IF(BENEFIT_PARAMETERS!M14="Yes",FALSE,IF(BENEFIT_PARAMETERS!M14="No",FALSE,TRUE)),IF(T14,FALSE,TRUE))</f>
        <v>0</v>
      </c>
      <c r="N14" s="111"/>
      <c r="O14" s="169" t="b">
        <f>ISBLANK(BENEFIT_DESIGN!D14)</f>
        <v>1</v>
      </c>
      <c r="P14" s="170" t="b">
        <f>ISBLANK(BENEFIT_DESIGN!E14)</f>
        <v>1</v>
      </c>
      <c r="Q14" s="170" t="b">
        <f>ISBLANK(BENEFIT_DESIGN!F14)</f>
        <v>1</v>
      </c>
      <c r="R14" s="170" t="b">
        <f>ISBLANK(BENEFIT_DESIGN!G14)</f>
        <v>0</v>
      </c>
      <c r="S14" s="170" t="b">
        <f>ISBLANK(BENEFIT_DESIGN!H14)</f>
        <v>0</v>
      </c>
      <c r="T14" s="171" t="b">
        <f>ISBLANK(BENEFIT_DESIGN!I14)</f>
        <v>0</v>
      </c>
      <c r="U14" s="111"/>
    </row>
    <row r="15" spans="1:21" x14ac:dyDescent="0.25">
      <c r="A15" s="111"/>
      <c r="B15" s="34" t="str">
        <f>BENEFIT_DESIGN!B15</f>
        <v>Professional Services: Obstetric Care (Bundled)</v>
      </c>
      <c r="C15" s="159" t="b">
        <f>IF(BENEFIT_DESIGN!L15,FALSE,TRUE)</f>
        <v>0</v>
      </c>
      <c r="D15" s="159" t="b">
        <f>IFERROR(IF(BENEFIT_DESIGN!M15,IF(BENEFIT_PARAMETERS!C15=0,TRUE,FALSE),IF(BENEFIT_PARAMETERS!C15=0,FALSE,TRUE)),TRUE)</f>
        <v>0</v>
      </c>
      <c r="E15" s="159" t="b">
        <f>IF(BENEFIT_DESIGN!N15,IF(BENEFIT_PARAMETERS!D15=0,TRUE,FALSE),IF(BENEFIT_PARAMETERS!D15=0,FALSE,TRUE))</f>
        <v>0</v>
      </c>
      <c r="F15" s="159" t="b">
        <f>IF(BENEFIT_DESIGN!O15,IF(BENEFIT_PARAMETERS!E15=0,TRUE,FALSE),IF(BENEFIT_PARAMETERS!E15=0,FALSE,TRUE))</f>
        <v>0</v>
      </c>
      <c r="G15" s="159" t="b">
        <f>IF(BENEFIT_DESIGN!P15,IF(BENEFIT_PARAMETERS!F15=0,TRUE,FALSE),IF(BENEFIT_PARAMETERS!F15=0,FALSE,TRUE))</f>
        <v>0</v>
      </c>
      <c r="H15" s="159" t="b">
        <f>IF(BENEFIT_DESIGN!Q15,IF(BENEFIT_PARAMETERS!H15=0,TRUE,FALSE),IF(O15,FALSE,TRUE))</f>
        <v>0</v>
      </c>
      <c r="I15" s="159" t="b">
        <f>IF(BENEFIT_DESIGN!R15,IF(BENEFIT_PARAMETERS!I15&lt;=0,TRUE,FALSE),IF(P15,FALSE,TRUE))</f>
        <v>0</v>
      </c>
      <c r="J15" s="159" t="b">
        <f>IF(BENEFIT_DESIGN!S15,IF(BENEFIT_PARAMETERS!J15&lt;=0,TRUE,FALSE),IF(Q15,FALSE,TRUE))</f>
        <v>0</v>
      </c>
      <c r="K15" s="159" t="b">
        <f>IF(BENEFIT_DESIGN!T15,IF(BENEFIT_PARAMETERS!K15="None",FALSE,IF(BENEFIT_PARAMETERS!K15&gt;0,FALSE,TRUE)),IF(R15,FALSE,TRUE))</f>
        <v>0</v>
      </c>
      <c r="L15" s="159" t="b">
        <f>IF(BENEFIT_DESIGN!U15,IF(BENEFIT_PARAMETERS!L15="None",FALSE,IF(BENEFIT_PARAMETERS!L15&gt;0,FALSE,TRUE)),IF(S15,FALSE,TRUE))</f>
        <v>0</v>
      </c>
      <c r="M15" s="160" t="b">
        <f>IF(BENEFIT_DESIGN!V15,IF(BENEFIT_PARAMETERS!M15="Yes",FALSE,IF(BENEFIT_PARAMETERS!M15="No",FALSE,TRUE)),IF(T15,FALSE,TRUE))</f>
        <v>0</v>
      </c>
      <c r="N15" s="111"/>
      <c r="O15" s="169" t="b">
        <f>ISBLANK(BENEFIT_DESIGN!D15)</f>
        <v>1</v>
      </c>
      <c r="P15" s="170" t="b">
        <f>ISBLANK(BENEFIT_DESIGN!E15)</f>
        <v>1</v>
      </c>
      <c r="Q15" s="170" t="b">
        <f>ISBLANK(BENEFIT_DESIGN!F15)</f>
        <v>1</v>
      </c>
      <c r="R15" s="170" t="b">
        <f>ISBLANK(BENEFIT_DESIGN!G15)</f>
        <v>0</v>
      </c>
      <c r="S15" s="170" t="b">
        <f>ISBLANK(BENEFIT_DESIGN!H15)</f>
        <v>0</v>
      </c>
      <c r="T15" s="171" t="b">
        <f>ISBLANK(BENEFIT_DESIGN!I15)</f>
        <v>0</v>
      </c>
      <c r="U15" s="111"/>
    </row>
    <row r="16" spans="1:21" x14ac:dyDescent="0.25">
      <c r="A16" s="111"/>
      <c r="B16" s="34" t="str">
        <f>BENEFIT_DESIGN!B16</f>
        <v>Professional Services: Procedures &amp; Other</v>
      </c>
      <c r="C16" s="159" t="b">
        <f>IF(BENEFIT_DESIGN!L16,FALSE,TRUE)</f>
        <v>0</v>
      </c>
      <c r="D16" s="159" t="b">
        <f>IFERROR(IF(BENEFIT_DESIGN!M16,IF(BENEFIT_PARAMETERS!C16=0,TRUE,FALSE),IF(BENEFIT_PARAMETERS!C16=0,FALSE,TRUE)),TRUE)</f>
        <v>0</v>
      </c>
      <c r="E16" s="159" t="b">
        <f>IF(BENEFIT_DESIGN!N16,IF(BENEFIT_PARAMETERS!D16=0,TRUE,FALSE),IF(BENEFIT_PARAMETERS!D16=0,FALSE,TRUE))</f>
        <v>0</v>
      </c>
      <c r="F16" s="159" t="b">
        <f>IF(BENEFIT_DESIGN!O16,IF(BENEFIT_PARAMETERS!E16=0,TRUE,FALSE),IF(BENEFIT_PARAMETERS!E16=0,FALSE,TRUE))</f>
        <v>0</v>
      </c>
      <c r="G16" s="159" t="b">
        <f>IF(BENEFIT_DESIGN!P16,IF(BENEFIT_PARAMETERS!F16=0,TRUE,FALSE),IF(BENEFIT_PARAMETERS!F16=0,FALSE,TRUE))</f>
        <v>0</v>
      </c>
      <c r="H16" s="159" t="b">
        <f>IF(BENEFIT_DESIGN!Q16,IF(BENEFIT_PARAMETERS!H16=0,TRUE,FALSE),IF(O16,FALSE,TRUE))</f>
        <v>0</v>
      </c>
      <c r="I16" s="159" t="b">
        <f>IF(BENEFIT_DESIGN!R16,IF(BENEFIT_PARAMETERS!I16&lt;=0,TRUE,FALSE),IF(P16,FALSE,TRUE))</f>
        <v>0</v>
      </c>
      <c r="J16" s="159" t="b">
        <f>IF(BENEFIT_DESIGN!S16,IF(BENEFIT_PARAMETERS!J16&lt;=0,TRUE,FALSE),IF(Q16,FALSE,TRUE))</f>
        <v>0</v>
      </c>
      <c r="K16" s="159" t="b">
        <f>IF(BENEFIT_DESIGN!T16,IF(BENEFIT_PARAMETERS!K16="None",FALSE,IF(BENEFIT_PARAMETERS!K16&gt;0,FALSE,TRUE)),IF(R16,FALSE,TRUE))</f>
        <v>0</v>
      </c>
      <c r="L16" s="159" t="b">
        <f>IF(BENEFIT_DESIGN!U16,IF(BENEFIT_PARAMETERS!L16="None",FALSE,IF(BENEFIT_PARAMETERS!L16&gt;0,FALSE,TRUE)),IF(S16,FALSE,TRUE))</f>
        <v>0</v>
      </c>
      <c r="M16" s="160" t="b">
        <f>IF(BENEFIT_DESIGN!V16,IF(BENEFIT_PARAMETERS!M16="Yes",FALSE,IF(BENEFIT_PARAMETERS!M16="No",FALSE,TRUE)),IF(T16,FALSE,TRUE))</f>
        <v>0</v>
      </c>
      <c r="N16" s="111"/>
      <c r="O16" s="169" t="b">
        <f>ISBLANK(BENEFIT_DESIGN!D16)</f>
        <v>1</v>
      </c>
      <c r="P16" s="170" t="b">
        <f>ISBLANK(BENEFIT_DESIGN!E16)</f>
        <v>1</v>
      </c>
      <c r="Q16" s="170" t="b">
        <f>ISBLANK(BENEFIT_DESIGN!F16)</f>
        <v>1</v>
      </c>
      <c r="R16" s="170" t="b">
        <f>ISBLANK(BENEFIT_DESIGN!G16)</f>
        <v>0</v>
      </c>
      <c r="S16" s="170" t="b">
        <f>ISBLANK(BENEFIT_DESIGN!H16)</f>
        <v>0</v>
      </c>
      <c r="T16" s="171" t="b">
        <f>ISBLANK(BENEFIT_DESIGN!I16)</f>
        <v>0</v>
      </c>
      <c r="U16" s="111"/>
    </row>
    <row r="17" spans="1:21" x14ac:dyDescent="0.25">
      <c r="A17" s="111"/>
      <c r="B17" s="34" t="str">
        <f>BENEFIT_DESIGN!B17</f>
        <v>Professional Services: Physical Therapy</v>
      </c>
      <c r="C17" s="159" t="b">
        <f>IF(BENEFIT_DESIGN!L17,FALSE,TRUE)</f>
        <v>0</v>
      </c>
      <c r="D17" s="159" t="b">
        <f>IFERROR(IF(BENEFIT_DESIGN!M17,IF(BENEFIT_PARAMETERS!C17=0,TRUE,FALSE),IF(BENEFIT_PARAMETERS!C17=0,FALSE,TRUE)),TRUE)</f>
        <v>0</v>
      </c>
      <c r="E17" s="159" t="b">
        <f>IF(BENEFIT_DESIGN!N17,IF(BENEFIT_PARAMETERS!D17=0,TRUE,FALSE),IF(BENEFIT_PARAMETERS!D17=0,FALSE,TRUE))</f>
        <v>0</v>
      </c>
      <c r="F17" s="159" t="b">
        <f>IF(BENEFIT_DESIGN!O17,IF(BENEFIT_PARAMETERS!E17=0,TRUE,FALSE),IF(BENEFIT_PARAMETERS!E17=0,FALSE,TRUE))</f>
        <v>0</v>
      </c>
      <c r="G17" s="159" t="b">
        <f>IF(BENEFIT_DESIGN!P17,IF(BENEFIT_PARAMETERS!F17=0,TRUE,FALSE),IF(BENEFIT_PARAMETERS!F17=0,FALSE,TRUE))</f>
        <v>0</v>
      </c>
      <c r="H17" s="159" t="b">
        <f>IF(BENEFIT_DESIGN!Q17,IF(BENEFIT_PARAMETERS!H17=0,TRUE,FALSE),IF(O17,FALSE,TRUE))</f>
        <v>0</v>
      </c>
      <c r="I17" s="159" t="b">
        <f>IF(BENEFIT_DESIGN!R17,IF(BENEFIT_PARAMETERS!I17&lt;=0,TRUE,FALSE),IF(P17,FALSE,TRUE))</f>
        <v>0</v>
      </c>
      <c r="J17" s="159" t="b">
        <f>IF(BENEFIT_DESIGN!S17,IF(BENEFIT_PARAMETERS!J17&lt;=0,TRUE,FALSE),IF(Q17,FALSE,TRUE))</f>
        <v>0</v>
      </c>
      <c r="K17" s="159" t="b">
        <f>IF(BENEFIT_DESIGN!T17,IF(BENEFIT_PARAMETERS!K17="None",FALSE,IF(BENEFIT_PARAMETERS!K17&gt;0,FALSE,TRUE)),IF(R17,FALSE,TRUE))</f>
        <v>0</v>
      </c>
      <c r="L17" s="159" t="b">
        <f>IF(BENEFIT_DESIGN!U17,IF(BENEFIT_PARAMETERS!L17="None",FALSE,IF(BENEFIT_PARAMETERS!L17&gt;0,FALSE,TRUE)),IF(S17,FALSE,TRUE))</f>
        <v>0</v>
      </c>
      <c r="M17" s="160" t="b">
        <f>IF(BENEFIT_DESIGN!V17,IF(BENEFIT_PARAMETERS!M17="Yes",FALSE,IF(BENEFIT_PARAMETERS!M17="No",FALSE,TRUE)),IF(T17,FALSE,TRUE))</f>
        <v>0</v>
      </c>
      <c r="N17" s="111"/>
      <c r="O17" s="169" t="b">
        <f>ISBLANK(BENEFIT_DESIGN!D17)</f>
        <v>1</v>
      </c>
      <c r="P17" s="170" t="b">
        <f>ISBLANK(BENEFIT_DESIGN!E17)</f>
        <v>1</v>
      </c>
      <c r="Q17" s="170" t="b">
        <f>ISBLANK(BENEFIT_DESIGN!F17)</f>
        <v>1</v>
      </c>
      <c r="R17" s="170" t="b">
        <f>ISBLANK(BENEFIT_DESIGN!G17)</f>
        <v>0</v>
      </c>
      <c r="S17" s="170" t="b">
        <f>ISBLANK(BENEFIT_DESIGN!H17)</f>
        <v>0</v>
      </c>
      <c r="T17" s="171" t="b">
        <f>ISBLANK(BENEFIT_DESIGN!I17)</f>
        <v>0</v>
      </c>
      <c r="U17" s="111"/>
    </row>
    <row r="18" spans="1:21" x14ac:dyDescent="0.25">
      <c r="A18" s="111"/>
      <c r="B18" s="34" t="str">
        <f>BENEFIT_DESIGN!B18</f>
        <v>Diagnostic Services: Radiology</v>
      </c>
      <c r="C18" s="159" t="b">
        <f>IF(BENEFIT_DESIGN!L18,FALSE,TRUE)</f>
        <v>0</v>
      </c>
      <c r="D18" s="159" t="b">
        <f>IFERROR(IF(BENEFIT_DESIGN!M18,IF(BENEFIT_PARAMETERS!C18=0,TRUE,FALSE),IF(BENEFIT_PARAMETERS!C18=0,FALSE,TRUE)),TRUE)</f>
        <v>0</v>
      </c>
      <c r="E18" s="159" t="b">
        <f>IF(BENEFIT_DESIGN!N18,IF(BENEFIT_PARAMETERS!D18=0,TRUE,FALSE),IF(BENEFIT_PARAMETERS!D18=0,FALSE,TRUE))</f>
        <v>0</v>
      </c>
      <c r="F18" s="159" t="b">
        <f>IF(BENEFIT_DESIGN!O18,IF(BENEFIT_PARAMETERS!E18=0,TRUE,FALSE),IF(BENEFIT_PARAMETERS!E18=0,FALSE,TRUE))</f>
        <v>0</v>
      </c>
      <c r="G18" s="159" t="b">
        <f>IF(BENEFIT_DESIGN!P18,IF(BENEFIT_PARAMETERS!F18=0,TRUE,FALSE),IF(BENEFIT_PARAMETERS!F18=0,FALSE,TRUE))</f>
        <v>0</v>
      </c>
      <c r="H18" s="159" t="b">
        <f>IF(BENEFIT_DESIGN!Q18,IF(BENEFIT_PARAMETERS!H18=0,TRUE,FALSE),IF(O18,FALSE,TRUE))</f>
        <v>0</v>
      </c>
      <c r="I18" s="159" t="b">
        <f>IF(BENEFIT_DESIGN!R18,IF(BENEFIT_PARAMETERS!I18&lt;=0,TRUE,FALSE),IF(P18,FALSE,TRUE))</f>
        <v>0</v>
      </c>
      <c r="J18" s="159" t="b">
        <f>IF(BENEFIT_DESIGN!S18,IF(BENEFIT_PARAMETERS!J18&lt;=0,TRUE,FALSE),IF(Q18,FALSE,TRUE))</f>
        <v>0</v>
      </c>
      <c r="K18" s="159" t="b">
        <f>IF(BENEFIT_DESIGN!T18,IF(BENEFIT_PARAMETERS!K18="None",FALSE,IF(BENEFIT_PARAMETERS!K18&gt;0,FALSE,TRUE)),IF(R18,FALSE,TRUE))</f>
        <v>0</v>
      </c>
      <c r="L18" s="159" t="b">
        <f>IF(BENEFIT_DESIGN!U18,IF(BENEFIT_PARAMETERS!L18="None",FALSE,IF(BENEFIT_PARAMETERS!L18&gt;0,FALSE,TRUE)),IF(S18,FALSE,TRUE))</f>
        <v>0</v>
      </c>
      <c r="M18" s="160" t="b">
        <f>IF(BENEFIT_DESIGN!V18,IF(BENEFIT_PARAMETERS!M18="Yes",FALSE,IF(BENEFIT_PARAMETERS!M18="No",FALSE,TRUE)),IF(T18,FALSE,TRUE))</f>
        <v>0</v>
      </c>
      <c r="N18" s="111"/>
      <c r="O18" s="169" t="b">
        <f>ISBLANK(BENEFIT_DESIGN!D18)</f>
        <v>1</v>
      </c>
      <c r="P18" s="170" t="b">
        <f>ISBLANK(BENEFIT_DESIGN!E18)</f>
        <v>1</v>
      </c>
      <c r="Q18" s="170" t="b">
        <f>ISBLANK(BENEFIT_DESIGN!F18)</f>
        <v>1</v>
      </c>
      <c r="R18" s="170" t="b">
        <f>ISBLANK(BENEFIT_DESIGN!G18)</f>
        <v>0</v>
      </c>
      <c r="S18" s="170" t="b">
        <f>ISBLANK(BENEFIT_DESIGN!H18)</f>
        <v>0</v>
      </c>
      <c r="T18" s="171" t="b">
        <f>ISBLANK(BENEFIT_DESIGN!I18)</f>
        <v>0</v>
      </c>
      <c r="U18" s="111"/>
    </row>
    <row r="19" spans="1:21" x14ac:dyDescent="0.25">
      <c r="A19" s="111"/>
      <c r="B19" s="34" t="str">
        <f>BENEFIT_DESIGN!B19</f>
        <v>Diagnostic Services: Laboratory</v>
      </c>
      <c r="C19" s="159" t="b">
        <f>IF(BENEFIT_DESIGN!L19,FALSE,TRUE)</f>
        <v>0</v>
      </c>
      <c r="D19" s="159" t="b">
        <f>IFERROR(IF(BENEFIT_DESIGN!M19,IF(BENEFIT_PARAMETERS!C19=0,TRUE,FALSE),IF(BENEFIT_PARAMETERS!C19=0,FALSE,TRUE)),TRUE)</f>
        <v>0</v>
      </c>
      <c r="E19" s="159" t="b">
        <f>IF(BENEFIT_DESIGN!N19,IF(BENEFIT_PARAMETERS!D19=0,TRUE,FALSE),IF(BENEFIT_PARAMETERS!D19=0,FALSE,TRUE))</f>
        <v>0</v>
      </c>
      <c r="F19" s="159" t="b">
        <f>IF(BENEFIT_DESIGN!O19,IF(BENEFIT_PARAMETERS!E19=0,TRUE,FALSE),IF(BENEFIT_PARAMETERS!E19=0,FALSE,TRUE))</f>
        <v>0</v>
      </c>
      <c r="G19" s="159" t="b">
        <f>IF(BENEFIT_DESIGN!P19,IF(BENEFIT_PARAMETERS!F19=0,TRUE,FALSE),IF(BENEFIT_PARAMETERS!F19=0,FALSE,TRUE))</f>
        <v>0</v>
      </c>
      <c r="H19" s="159" t="b">
        <f>IF(BENEFIT_DESIGN!Q19,IF(BENEFIT_PARAMETERS!H19=0,TRUE,FALSE),IF(O19,FALSE,TRUE))</f>
        <v>0</v>
      </c>
      <c r="I19" s="159" t="b">
        <f>IF(BENEFIT_DESIGN!R19,IF(BENEFIT_PARAMETERS!I19&lt;=0,TRUE,FALSE),IF(P19,FALSE,TRUE))</f>
        <v>0</v>
      </c>
      <c r="J19" s="159" t="b">
        <f>IF(BENEFIT_DESIGN!S19,IF(BENEFIT_PARAMETERS!J19&lt;=0,TRUE,FALSE),IF(Q19,FALSE,TRUE))</f>
        <v>0</v>
      </c>
      <c r="K19" s="159" t="b">
        <f>IF(BENEFIT_DESIGN!T19,IF(BENEFIT_PARAMETERS!K19="None",FALSE,IF(BENEFIT_PARAMETERS!K19&gt;0,FALSE,TRUE)),IF(R19,FALSE,TRUE))</f>
        <v>0</v>
      </c>
      <c r="L19" s="159" t="b">
        <f>IF(BENEFIT_DESIGN!U19,IF(BENEFIT_PARAMETERS!L19="None",FALSE,IF(BENEFIT_PARAMETERS!L19&gt;0,FALSE,TRUE)),IF(S19,FALSE,TRUE))</f>
        <v>0</v>
      </c>
      <c r="M19" s="160" t="b">
        <f>IF(BENEFIT_DESIGN!V19,IF(BENEFIT_PARAMETERS!M19="Yes",FALSE,IF(BENEFIT_PARAMETERS!M19="No",FALSE,TRUE)),IF(T19,FALSE,TRUE))</f>
        <v>0</v>
      </c>
      <c r="N19" s="111"/>
      <c r="O19" s="169" t="b">
        <f>ISBLANK(BENEFIT_DESIGN!D19)</f>
        <v>1</v>
      </c>
      <c r="P19" s="170" t="b">
        <f>ISBLANK(BENEFIT_DESIGN!E19)</f>
        <v>1</v>
      </c>
      <c r="Q19" s="170" t="b">
        <f>ISBLANK(BENEFIT_DESIGN!F19)</f>
        <v>1</v>
      </c>
      <c r="R19" s="170" t="b">
        <f>ISBLANK(BENEFIT_DESIGN!G19)</f>
        <v>0</v>
      </c>
      <c r="S19" s="170" t="b">
        <f>ISBLANK(BENEFIT_DESIGN!H19)</f>
        <v>0</v>
      </c>
      <c r="T19" s="171" t="b">
        <f>ISBLANK(BENEFIT_DESIGN!I19)</f>
        <v>0</v>
      </c>
      <c r="U19" s="111"/>
    </row>
    <row r="20" spans="1:21" x14ac:dyDescent="0.25">
      <c r="A20" s="111"/>
      <c r="B20" s="34" t="str">
        <f>BENEFIT_DESIGN!B20</f>
        <v>Prescription Drugs: Generic</v>
      </c>
      <c r="C20" s="159" t="b">
        <f>IF(BENEFIT_DESIGN!L20,FALSE,TRUE)</f>
        <v>0</v>
      </c>
      <c r="D20" s="159" t="b">
        <f>IFERROR(IF(BENEFIT_DESIGN!M20,IF(BENEFIT_PARAMETERS!C20=0,TRUE,FALSE),IF(BENEFIT_PARAMETERS!C20=0,FALSE,TRUE)),TRUE)</f>
        <v>0</v>
      </c>
      <c r="E20" s="159" t="b">
        <f>IF(BENEFIT_DESIGN!N20,IF(BENEFIT_PARAMETERS!D20=0,TRUE,FALSE),IF(BENEFIT_PARAMETERS!D20=0,FALSE,TRUE))</f>
        <v>0</v>
      </c>
      <c r="F20" s="159" t="b">
        <f>IF(BENEFIT_DESIGN!O20,IF(BENEFIT_PARAMETERS!E20=0,TRUE,FALSE),IF(BENEFIT_PARAMETERS!E20=0,FALSE,TRUE))</f>
        <v>0</v>
      </c>
      <c r="G20" s="159" t="b">
        <f>IF(BENEFIT_DESIGN!P20,IF(BENEFIT_PARAMETERS!F20=0,TRUE,FALSE),IF(BENEFIT_PARAMETERS!F20=0,FALSE,TRUE))</f>
        <v>0</v>
      </c>
      <c r="H20" s="159" t="b">
        <f>IF(BENEFIT_DESIGN!Q20,IF(BENEFIT_PARAMETERS!H20=0,TRUE,FALSE),IF(O20,FALSE,TRUE))</f>
        <v>0</v>
      </c>
      <c r="I20" s="159" t="b">
        <f>IF(BENEFIT_DESIGN!R20,IF(BENEFIT_PARAMETERS!I20&lt;=0,TRUE,FALSE),IF(P20,FALSE,TRUE))</f>
        <v>0</v>
      </c>
      <c r="J20" s="159" t="b">
        <f>IF(BENEFIT_DESIGN!S20,IF(BENEFIT_PARAMETERS!J20&lt;=0,TRUE,FALSE),IF(Q20,FALSE,TRUE))</f>
        <v>0</v>
      </c>
      <c r="K20" s="159" t="b">
        <f>IF(BENEFIT_DESIGN!T20,IF(BENEFIT_PARAMETERS!K20="None",FALSE,IF(BENEFIT_PARAMETERS!K20&gt;0,FALSE,TRUE)),IF(R20,FALSE,TRUE))</f>
        <v>0</v>
      </c>
      <c r="L20" s="159" t="b">
        <f>IF(BENEFIT_DESIGN!U20,IF(BENEFIT_PARAMETERS!L20="None",FALSE,IF(BENEFIT_PARAMETERS!L20&gt;0,FALSE,TRUE)),IF(S20,FALSE,TRUE))</f>
        <v>0</v>
      </c>
      <c r="M20" s="160" t="b">
        <f>IF(BENEFIT_DESIGN!V20,IF(BENEFIT_PARAMETERS!M20="Yes",FALSE,IF(BENEFIT_PARAMETERS!M20="No",FALSE,TRUE)),IF(T20,FALSE,TRUE))</f>
        <v>0</v>
      </c>
      <c r="N20" s="111"/>
      <c r="O20" s="169" t="b">
        <f>ISBLANK(BENEFIT_DESIGN!D20)</f>
        <v>1</v>
      </c>
      <c r="P20" s="170" t="b">
        <f>ISBLANK(BENEFIT_DESIGN!E20)</f>
        <v>0</v>
      </c>
      <c r="Q20" s="170" t="b">
        <f>ISBLANK(BENEFIT_DESIGN!F20)</f>
        <v>1</v>
      </c>
      <c r="R20" s="170" t="b">
        <f>ISBLANK(BENEFIT_DESIGN!G20)</f>
        <v>0</v>
      </c>
      <c r="S20" s="170" t="b">
        <f>ISBLANK(BENEFIT_DESIGN!H20)</f>
        <v>0</v>
      </c>
      <c r="T20" s="171" t="b">
        <f>ISBLANK(BENEFIT_DESIGN!I20)</f>
        <v>0</v>
      </c>
      <c r="U20" s="111"/>
    </row>
    <row r="21" spans="1:21" x14ac:dyDescent="0.25">
      <c r="A21" s="111"/>
      <c r="B21" s="34" t="str">
        <f>BENEFIT_DESIGN!B21</f>
        <v>Prescription Drugs: Branded</v>
      </c>
      <c r="C21" s="159" t="b">
        <f>IF(BENEFIT_DESIGN!L21,FALSE,TRUE)</f>
        <v>0</v>
      </c>
      <c r="D21" s="159" t="b">
        <f>IFERROR(IF(BENEFIT_DESIGN!M21,IF(BENEFIT_PARAMETERS!C21=0,TRUE,FALSE),IF(BENEFIT_PARAMETERS!C21=0,FALSE,TRUE)),TRUE)</f>
        <v>0</v>
      </c>
      <c r="E21" s="159" t="b">
        <f>IF(BENEFIT_DESIGN!N21,IF(BENEFIT_PARAMETERS!D21=0,TRUE,FALSE),IF(BENEFIT_PARAMETERS!D21=0,FALSE,TRUE))</f>
        <v>0</v>
      </c>
      <c r="F21" s="159" t="b">
        <f>IF(BENEFIT_DESIGN!O21,IF(BENEFIT_PARAMETERS!E21=0,TRUE,FALSE),IF(BENEFIT_PARAMETERS!E21=0,FALSE,TRUE))</f>
        <v>0</v>
      </c>
      <c r="G21" s="159" t="b">
        <f>IF(BENEFIT_DESIGN!P21,IF(BENEFIT_PARAMETERS!F21=0,TRUE,FALSE),IF(BENEFIT_PARAMETERS!F21=0,FALSE,TRUE))</f>
        <v>0</v>
      </c>
      <c r="H21" s="159" t="b">
        <f>IF(BENEFIT_DESIGN!Q21,IF(BENEFIT_PARAMETERS!H21=0,TRUE,FALSE),IF(O21,FALSE,TRUE))</f>
        <v>0</v>
      </c>
      <c r="I21" s="159" t="b">
        <f>IF(BENEFIT_DESIGN!R21,IF(BENEFIT_PARAMETERS!I21&lt;=0,TRUE,FALSE),IF(P21,FALSE,TRUE))</f>
        <v>0</v>
      </c>
      <c r="J21" s="159" t="b">
        <f>IF(BENEFIT_DESIGN!S21,IF(BENEFIT_PARAMETERS!J21&lt;=0,TRUE,FALSE),IF(Q21,FALSE,TRUE))</f>
        <v>0</v>
      </c>
      <c r="K21" s="159" t="b">
        <f>IF(BENEFIT_DESIGN!T21,IF(BENEFIT_PARAMETERS!K21="None",FALSE,IF(BENEFIT_PARAMETERS!K21&gt;0,FALSE,TRUE)),IF(R21,FALSE,TRUE))</f>
        <v>0</v>
      </c>
      <c r="L21" s="159" t="b">
        <f>IF(BENEFIT_DESIGN!U21,IF(BENEFIT_PARAMETERS!L21="None",FALSE,IF(BENEFIT_PARAMETERS!L21&gt;0,FALSE,TRUE)),IF(S21,FALSE,TRUE))</f>
        <v>0</v>
      </c>
      <c r="M21" s="160" t="b">
        <f>IF(BENEFIT_DESIGN!V21,IF(BENEFIT_PARAMETERS!M21="Yes",FALSE,IF(BENEFIT_PARAMETERS!M21="No",FALSE,TRUE)),IF(T21,FALSE,TRUE))</f>
        <v>0</v>
      </c>
      <c r="N21" s="111"/>
      <c r="O21" s="169" t="b">
        <f>ISBLANK(BENEFIT_DESIGN!D21)</f>
        <v>1</v>
      </c>
      <c r="P21" s="170" t="b">
        <f>ISBLANK(BENEFIT_DESIGN!E21)</f>
        <v>0</v>
      </c>
      <c r="Q21" s="170" t="b">
        <f>ISBLANK(BENEFIT_DESIGN!F21)</f>
        <v>1</v>
      </c>
      <c r="R21" s="170" t="b">
        <f>ISBLANK(BENEFIT_DESIGN!G21)</f>
        <v>0</v>
      </c>
      <c r="S21" s="170" t="b">
        <f>ISBLANK(BENEFIT_DESIGN!H21)</f>
        <v>0</v>
      </c>
      <c r="T21" s="171" t="b">
        <f>ISBLANK(BENEFIT_DESIGN!I21)</f>
        <v>0</v>
      </c>
      <c r="U21" s="111"/>
    </row>
    <row r="22" spans="1:21" x14ac:dyDescent="0.25">
      <c r="A22" s="111"/>
      <c r="B22" s="34" t="str">
        <f>BENEFIT_DESIGN!B22</f>
        <v>Over-the-counter Drugs</v>
      </c>
      <c r="C22" s="159" t="b">
        <f>IF(BENEFIT_DESIGN!L22,FALSE,TRUE)</f>
        <v>0</v>
      </c>
      <c r="D22" s="159" t="b">
        <f>IFERROR(IF(BENEFIT_DESIGN!M22,IF(BENEFIT_PARAMETERS!C22=0,TRUE,FALSE),IF(BENEFIT_PARAMETERS!C22=0,FALSE,TRUE)),TRUE)</f>
        <v>0</v>
      </c>
      <c r="E22" s="159" t="b">
        <f>IF(BENEFIT_DESIGN!N22,IF(BENEFIT_PARAMETERS!D22=0,TRUE,FALSE),IF(BENEFIT_PARAMETERS!D22=0,FALSE,TRUE))</f>
        <v>0</v>
      </c>
      <c r="F22" s="159" t="b">
        <f>IF(BENEFIT_DESIGN!O22,IF(BENEFIT_PARAMETERS!E22=0,TRUE,FALSE),IF(BENEFIT_PARAMETERS!E22=0,FALSE,TRUE))</f>
        <v>0</v>
      </c>
      <c r="G22" s="159" t="b">
        <f>IF(BENEFIT_DESIGN!P22,IF(BENEFIT_PARAMETERS!F22=0,TRUE,FALSE),IF(BENEFIT_PARAMETERS!F22=0,FALSE,TRUE))</f>
        <v>0</v>
      </c>
      <c r="H22" s="159" t="b">
        <f>IF(BENEFIT_DESIGN!Q22,IF(BENEFIT_PARAMETERS!H22=0,TRUE,FALSE),IF(O22,FALSE,TRUE))</f>
        <v>0</v>
      </c>
      <c r="I22" s="159" t="b">
        <f>IF(BENEFIT_DESIGN!R22,IF(BENEFIT_PARAMETERS!I22&lt;=0,TRUE,FALSE),IF(P22,FALSE,TRUE))</f>
        <v>0</v>
      </c>
      <c r="J22" s="159" t="b">
        <f>IF(BENEFIT_DESIGN!S22,IF(BENEFIT_PARAMETERS!J22&lt;=0,TRUE,FALSE),IF(Q22,FALSE,TRUE))</f>
        <v>0</v>
      </c>
      <c r="K22" s="159" t="b">
        <f>IF(BENEFIT_DESIGN!T22,IF(BENEFIT_PARAMETERS!K22="None",FALSE,IF(BENEFIT_PARAMETERS!K22&gt;0,FALSE,TRUE)),IF(R22,FALSE,TRUE))</f>
        <v>0</v>
      </c>
      <c r="L22" s="159" t="b">
        <f>IF(BENEFIT_DESIGN!U22,IF(BENEFIT_PARAMETERS!L22="None",FALSE,IF(BENEFIT_PARAMETERS!L22&gt;0,FALSE,TRUE)),IF(S22,FALSE,TRUE))</f>
        <v>0</v>
      </c>
      <c r="M22" s="160" t="b">
        <f>IF(BENEFIT_DESIGN!V22,IF(BENEFIT_PARAMETERS!M22="Yes",FALSE,IF(BENEFIT_PARAMETERS!M22="No",FALSE,TRUE)),IF(T22,FALSE,TRUE))</f>
        <v>0</v>
      </c>
      <c r="N22" s="111"/>
      <c r="O22" s="169" t="b">
        <f>ISBLANK(BENEFIT_DESIGN!D22)</f>
        <v>1</v>
      </c>
      <c r="P22" s="170" t="b">
        <f>ISBLANK(BENEFIT_DESIGN!E22)</f>
        <v>1</v>
      </c>
      <c r="Q22" s="170" t="b">
        <f>ISBLANK(BENEFIT_DESIGN!F22)</f>
        <v>1</v>
      </c>
      <c r="R22" s="170" t="b">
        <f>ISBLANK(BENEFIT_DESIGN!G22)</f>
        <v>1</v>
      </c>
      <c r="S22" s="170" t="b">
        <f>ISBLANK(BENEFIT_DESIGN!H22)</f>
        <v>1</v>
      </c>
      <c r="T22" s="171" t="b">
        <f>ISBLANK(BENEFIT_DESIGN!I22)</f>
        <v>1</v>
      </c>
      <c r="U22" s="111"/>
    </row>
    <row r="23" spans="1:21" x14ac:dyDescent="0.25">
      <c r="A23" s="111"/>
      <c r="B23" s="34" t="str">
        <f>BENEFIT_DESIGN!B23</f>
        <v>Preventive Services &amp; Vaccines</v>
      </c>
      <c r="C23" s="159" t="b">
        <f>IF(BENEFIT_DESIGN!L23,FALSE,TRUE)</f>
        <v>0</v>
      </c>
      <c r="D23" s="159" t="b">
        <f>IFERROR(IF(BENEFIT_DESIGN!M23,IF(BENEFIT_PARAMETERS!C23=0,TRUE,FALSE),IF(BENEFIT_PARAMETERS!C23=0,FALSE,TRUE)),TRUE)</f>
        <v>0</v>
      </c>
      <c r="E23" s="159" t="b">
        <f>IF(BENEFIT_DESIGN!N23,IF(BENEFIT_PARAMETERS!D23=0,TRUE,FALSE),IF(BENEFIT_PARAMETERS!D23=0,FALSE,TRUE))</f>
        <v>0</v>
      </c>
      <c r="F23" s="159" t="b">
        <f>IF(BENEFIT_DESIGN!O23,IF(BENEFIT_PARAMETERS!E23=0,TRUE,FALSE),IF(BENEFIT_PARAMETERS!E23=0,FALSE,TRUE))</f>
        <v>0</v>
      </c>
      <c r="G23" s="159" t="b">
        <f>IF(BENEFIT_DESIGN!P23,IF(BENEFIT_PARAMETERS!F23=0,TRUE,FALSE),IF(BENEFIT_PARAMETERS!F23=0,FALSE,TRUE))</f>
        <v>0</v>
      </c>
      <c r="H23" s="159" t="b">
        <f>IF(BENEFIT_DESIGN!Q23,IF(BENEFIT_PARAMETERS!H23=0,TRUE,FALSE),IF(O23,FALSE,TRUE))</f>
        <v>0</v>
      </c>
      <c r="I23" s="159" t="b">
        <f>IF(BENEFIT_DESIGN!R23,IF(BENEFIT_PARAMETERS!I23&lt;=0,TRUE,FALSE),IF(P23,FALSE,TRUE))</f>
        <v>0</v>
      </c>
      <c r="J23" s="159" t="b">
        <f>IF(BENEFIT_DESIGN!S23,IF(BENEFIT_PARAMETERS!J23&lt;=0,TRUE,FALSE),IF(Q23,FALSE,TRUE))</f>
        <v>0</v>
      </c>
      <c r="K23" s="159" t="b">
        <f>IF(BENEFIT_DESIGN!T23,IF(BENEFIT_PARAMETERS!K23="None",FALSE,IF(BENEFIT_PARAMETERS!K23&gt;0,FALSE,TRUE)),IF(R23,FALSE,TRUE))</f>
        <v>0</v>
      </c>
      <c r="L23" s="159" t="b">
        <f>IF(BENEFIT_DESIGN!U23,IF(BENEFIT_PARAMETERS!L23="None",FALSE,IF(BENEFIT_PARAMETERS!L23&gt;0,FALSE,TRUE)),IF(S23,FALSE,TRUE))</f>
        <v>0</v>
      </c>
      <c r="M23" s="160" t="b">
        <f>IF(BENEFIT_DESIGN!V23,IF(BENEFIT_PARAMETERS!M23="Yes",FALSE,IF(BENEFIT_PARAMETERS!M23="No",FALSE,TRUE)),IF(T23,FALSE,TRUE))</f>
        <v>0</v>
      </c>
      <c r="N23" s="111"/>
      <c r="O23" s="169" t="b">
        <f>ISBLANK(BENEFIT_DESIGN!D23)</f>
        <v>1</v>
      </c>
      <c r="P23" s="170" t="b">
        <f>ISBLANK(BENEFIT_DESIGN!E23)</f>
        <v>1</v>
      </c>
      <c r="Q23" s="170" t="b">
        <f>ISBLANK(BENEFIT_DESIGN!F23)</f>
        <v>1</v>
      </c>
      <c r="R23" s="170" t="b">
        <f>ISBLANK(BENEFIT_DESIGN!G23)</f>
        <v>0</v>
      </c>
      <c r="S23" s="170" t="b">
        <f>ISBLANK(BENEFIT_DESIGN!H23)</f>
        <v>0</v>
      </c>
      <c r="T23" s="171" t="b">
        <f>ISBLANK(BENEFIT_DESIGN!I23)</f>
        <v>0</v>
      </c>
      <c r="U23" s="111"/>
    </row>
    <row r="24" spans="1:21" x14ac:dyDescent="0.25">
      <c r="A24" s="111"/>
      <c r="B24" s="34" t="str">
        <f>BENEFIT_DESIGN!B24</f>
        <v>Durable Medical Equipment</v>
      </c>
      <c r="C24" s="159" t="b">
        <f>IF(BENEFIT_DESIGN!L24,FALSE,TRUE)</f>
        <v>0</v>
      </c>
      <c r="D24" s="159" t="b">
        <f>IFERROR(IF(BENEFIT_DESIGN!M24,IF(BENEFIT_PARAMETERS!C24=0,TRUE,FALSE),IF(BENEFIT_PARAMETERS!C24=0,FALSE,TRUE)),TRUE)</f>
        <v>0</v>
      </c>
      <c r="E24" s="159" t="b">
        <f>IF(BENEFIT_DESIGN!N24,IF(BENEFIT_PARAMETERS!D24=0,TRUE,FALSE),IF(BENEFIT_PARAMETERS!D24=0,FALSE,TRUE))</f>
        <v>0</v>
      </c>
      <c r="F24" s="159" t="b">
        <f>IF(BENEFIT_DESIGN!O24,IF(BENEFIT_PARAMETERS!E24=0,TRUE,FALSE),IF(BENEFIT_PARAMETERS!E24=0,FALSE,TRUE))</f>
        <v>0</v>
      </c>
      <c r="G24" s="159" t="b">
        <f>IF(BENEFIT_DESIGN!P24,IF(BENEFIT_PARAMETERS!F24=0,TRUE,FALSE),IF(BENEFIT_PARAMETERS!F24=0,FALSE,TRUE))</f>
        <v>0</v>
      </c>
      <c r="H24" s="159" t="b">
        <f>IF(BENEFIT_DESIGN!Q24,IF(BENEFIT_PARAMETERS!H24=0,TRUE,FALSE),IF(O24,FALSE,TRUE))</f>
        <v>0</v>
      </c>
      <c r="I24" s="159" t="b">
        <f>IF(BENEFIT_DESIGN!R24,IF(BENEFIT_PARAMETERS!I24&lt;=0,TRUE,FALSE),IF(P24,FALSE,TRUE))</f>
        <v>0</v>
      </c>
      <c r="J24" s="159" t="b">
        <f>IF(BENEFIT_DESIGN!S24,IF(BENEFIT_PARAMETERS!J24&lt;=0,TRUE,FALSE),IF(Q24,FALSE,TRUE))</f>
        <v>0</v>
      </c>
      <c r="K24" s="159" t="b">
        <f>IF(BENEFIT_DESIGN!T24,IF(BENEFIT_PARAMETERS!K24="None",FALSE,IF(BENEFIT_PARAMETERS!K24&gt;0,FALSE,TRUE)),IF(R24,FALSE,TRUE))</f>
        <v>0</v>
      </c>
      <c r="L24" s="159" t="b">
        <f>IF(BENEFIT_DESIGN!U24,IF(BENEFIT_PARAMETERS!L24="None",FALSE,IF(BENEFIT_PARAMETERS!L24&gt;0,FALSE,TRUE)),IF(S24,FALSE,TRUE))</f>
        <v>0</v>
      </c>
      <c r="M24" s="160" t="b">
        <f>IF(BENEFIT_DESIGN!V24,IF(BENEFIT_PARAMETERS!M24="Yes",FALSE,IF(BENEFIT_PARAMETERS!M24="No",FALSE,TRUE)),IF(T24,FALSE,TRUE))</f>
        <v>0</v>
      </c>
      <c r="N24" s="111"/>
      <c r="O24" s="169" t="b">
        <f>ISBLANK(BENEFIT_DESIGN!D24)</f>
        <v>1</v>
      </c>
      <c r="P24" s="170" t="b">
        <f>ISBLANK(BENEFIT_DESIGN!E24)</f>
        <v>1</v>
      </c>
      <c r="Q24" s="170" t="b">
        <f>ISBLANK(BENEFIT_DESIGN!F24)</f>
        <v>1</v>
      </c>
      <c r="R24" s="170" t="b">
        <f>ISBLANK(BENEFIT_DESIGN!G24)</f>
        <v>0</v>
      </c>
      <c r="S24" s="170" t="b">
        <f>ISBLANK(BENEFIT_DESIGN!H24)</f>
        <v>0</v>
      </c>
      <c r="T24" s="171" t="b">
        <f>ISBLANK(BENEFIT_DESIGN!I24)</f>
        <v>0</v>
      </c>
      <c r="U24" s="111"/>
    </row>
    <row r="25" spans="1:21" x14ac:dyDescent="0.25">
      <c r="A25" s="111"/>
      <c r="B25" s="34" t="str">
        <f>BENEFIT_DESIGN!B25</f>
        <v>Medical Supplies</v>
      </c>
      <c r="C25" s="159" t="b">
        <f>IF(BENEFIT_DESIGN!L25,FALSE,TRUE)</f>
        <v>0</v>
      </c>
      <c r="D25" s="159" t="b">
        <f>IFERROR(IF(BENEFIT_DESIGN!M25,IF(BENEFIT_PARAMETERS!C25=0,TRUE,FALSE),IF(BENEFIT_PARAMETERS!C25=0,FALSE,TRUE)),TRUE)</f>
        <v>0</v>
      </c>
      <c r="E25" s="159" t="b">
        <f>IF(BENEFIT_DESIGN!N25,IF(BENEFIT_PARAMETERS!D25=0,TRUE,FALSE),IF(BENEFIT_PARAMETERS!D25=0,FALSE,TRUE))</f>
        <v>0</v>
      </c>
      <c r="F25" s="159" t="b">
        <f>IF(BENEFIT_DESIGN!O25,IF(BENEFIT_PARAMETERS!E25=0,TRUE,FALSE),IF(BENEFIT_PARAMETERS!E25=0,FALSE,TRUE))</f>
        <v>0</v>
      </c>
      <c r="G25" s="159" t="b">
        <f>IF(BENEFIT_DESIGN!P25,IF(BENEFIT_PARAMETERS!F25=0,TRUE,FALSE),IF(BENEFIT_PARAMETERS!F25=0,FALSE,TRUE))</f>
        <v>0</v>
      </c>
      <c r="H25" s="159" t="b">
        <f>IF(BENEFIT_DESIGN!Q25,IF(BENEFIT_PARAMETERS!H25=0,TRUE,FALSE),IF(O25,FALSE,TRUE))</f>
        <v>0</v>
      </c>
      <c r="I25" s="159" t="b">
        <f>IF(BENEFIT_DESIGN!R25,IF(BENEFIT_PARAMETERS!I25&lt;=0,TRUE,FALSE),IF(P25,FALSE,TRUE))</f>
        <v>0</v>
      </c>
      <c r="J25" s="159" t="b">
        <f>IF(BENEFIT_DESIGN!S25,IF(BENEFIT_PARAMETERS!J25&lt;=0,TRUE,FALSE),IF(Q25,FALSE,TRUE))</f>
        <v>0</v>
      </c>
      <c r="K25" s="159" t="b">
        <f>IF(BENEFIT_DESIGN!T25,IF(BENEFIT_PARAMETERS!K25="None",FALSE,IF(BENEFIT_PARAMETERS!K25&gt;0,FALSE,TRUE)),IF(R25,FALSE,TRUE))</f>
        <v>0</v>
      </c>
      <c r="L25" s="159" t="b">
        <f>IF(BENEFIT_DESIGN!U25,IF(BENEFIT_PARAMETERS!L25="None",FALSE,IF(BENEFIT_PARAMETERS!L25&gt;0,FALSE,TRUE)),IF(S25,FALSE,TRUE))</f>
        <v>0</v>
      </c>
      <c r="M25" s="160" t="b">
        <f>IF(BENEFIT_DESIGN!V25,IF(BENEFIT_PARAMETERS!M25="Yes",FALSE,IF(BENEFIT_PARAMETERS!M25="No",FALSE,TRUE)),IF(T25,FALSE,TRUE))</f>
        <v>0</v>
      </c>
      <c r="N25" s="111"/>
      <c r="O25" s="169" t="b">
        <f>ISBLANK(BENEFIT_DESIGN!D25)</f>
        <v>1</v>
      </c>
      <c r="P25" s="170" t="b">
        <f>ISBLANK(BENEFIT_DESIGN!E25)</f>
        <v>1</v>
      </c>
      <c r="Q25" s="170" t="b">
        <f>ISBLANK(BENEFIT_DESIGN!F25)</f>
        <v>1</v>
      </c>
      <c r="R25" s="170" t="b">
        <f>ISBLANK(BENEFIT_DESIGN!G25)</f>
        <v>0</v>
      </c>
      <c r="S25" s="170" t="b">
        <f>ISBLANK(BENEFIT_DESIGN!H25)</f>
        <v>0</v>
      </c>
      <c r="T25" s="171" t="b">
        <f>ISBLANK(BENEFIT_DESIGN!I25)</f>
        <v>0</v>
      </c>
      <c r="U25" s="111"/>
    </row>
    <row r="26" spans="1:21" x14ac:dyDescent="0.25">
      <c r="A26" s="111"/>
      <c r="B26" s="34" t="str">
        <f>BENEFIT_DESIGN!B26</f>
        <v>Over-the-counter Medical Supplies</v>
      </c>
      <c r="C26" s="159" t="b">
        <f>IF(BENEFIT_DESIGN!L26,FALSE,TRUE)</f>
        <v>0</v>
      </c>
      <c r="D26" s="159" t="b">
        <f>IFERROR(IF(BENEFIT_DESIGN!M26,IF(BENEFIT_PARAMETERS!C26=0,TRUE,FALSE),IF(BENEFIT_PARAMETERS!C26=0,FALSE,TRUE)),TRUE)</f>
        <v>0</v>
      </c>
      <c r="E26" s="159" t="b">
        <f>IF(BENEFIT_DESIGN!N26,IF(BENEFIT_PARAMETERS!D26=0,TRUE,FALSE),IF(BENEFIT_PARAMETERS!D26=0,FALSE,TRUE))</f>
        <v>0</v>
      </c>
      <c r="F26" s="159" t="b">
        <f>IF(BENEFIT_DESIGN!O26,IF(BENEFIT_PARAMETERS!E26=0,TRUE,FALSE),IF(BENEFIT_PARAMETERS!E26=0,FALSE,TRUE))</f>
        <v>0</v>
      </c>
      <c r="G26" s="159" t="b">
        <f>IF(BENEFIT_DESIGN!P26,IF(BENEFIT_PARAMETERS!F26=0,TRUE,FALSE),IF(BENEFIT_PARAMETERS!F26=0,FALSE,TRUE))</f>
        <v>0</v>
      </c>
      <c r="H26" s="159" t="b">
        <f>IF(BENEFIT_DESIGN!Q26,IF(BENEFIT_PARAMETERS!H26=0,TRUE,FALSE),IF(O26,FALSE,TRUE))</f>
        <v>0</v>
      </c>
      <c r="I26" s="159" t="b">
        <f>IF(BENEFIT_DESIGN!R26,IF(BENEFIT_PARAMETERS!I26&lt;=0,TRUE,FALSE),IF(P26,FALSE,TRUE))</f>
        <v>0</v>
      </c>
      <c r="J26" s="159" t="b">
        <f>IF(BENEFIT_DESIGN!S26,IF(BENEFIT_PARAMETERS!J26&lt;=0,TRUE,FALSE),IF(Q26,FALSE,TRUE))</f>
        <v>0</v>
      </c>
      <c r="K26" s="159" t="b">
        <f>IF(BENEFIT_DESIGN!T26,IF(BENEFIT_PARAMETERS!K26="None",FALSE,IF(BENEFIT_PARAMETERS!K26&gt;0,FALSE,TRUE)),IF(R26,FALSE,TRUE))</f>
        <v>0</v>
      </c>
      <c r="L26" s="159" t="b">
        <f>IF(BENEFIT_DESIGN!U26,IF(BENEFIT_PARAMETERS!L26="None",FALSE,IF(BENEFIT_PARAMETERS!L26&gt;0,FALSE,TRUE)),IF(S26,FALSE,TRUE))</f>
        <v>0</v>
      </c>
      <c r="M26" s="160" t="b">
        <f>IF(BENEFIT_DESIGN!V26,IF(BENEFIT_PARAMETERS!M26="Yes",FALSE,IF(BENEFIT_PARAMETERS!M26="No",FALSE,TRUE)),IF(T26,FALSE,TRUE))</f>
        <v>0</v>
      </c>
      <c r="N26" s="111"/>
      <c r="O26" s="169" t="b">
        <f>ISBLANK(BENEFIT_DESIGN!D26)</f>
        <v>1</v>
      </c>
      <c r="P26" s="170" t="b">
        <f>ISBLANK(BENEFIT_DESIGN!E26)</f>
        <v>1</v>
      </c>
      <c r="Q26" s="170" t="b">
        <f>ISBLANK(BENEFIT_DESIGN!F26)</f>
        <v>1</v>
      </c>
      <c r="R26" s="170" t="b">
        <f>ISBLANK(BENEFIT_DESIGN!G26)</f>
        <v>1</v>
      </c>
      <c r="S26" s="170" t="b">
        <f>ISBLANK(BENEFIT_DESIGN!H26)</f>
        <v>1</v>
      </c>
      <c r="T26" s="171" t="b">
        <f>ISBLANK(BENEFIT_DESIGN!I26)</f>
        <v>1</v>
      </c>
      <c r="U26" s="111"/>
    </row>
    <row r="27" spans="1:21" x14ac:dyDescent="0.25">
      <c r="A27" s="111"/>
      <c r="B27" s="34" t="str">
        <f>BENEFIT_DESIGN!B27</f>
        <v>Other Items &amp; Services</v>
      </c>
      <c r="C27" s="159" t="b">
        <f>IF(BENEFIT_DESIGN!L27,FALSE,TRUE)</f>
        <v>0</v>
      </c>
      <c r="D27" s="159" t="b">
        <f>IFERROR(IF(BENEFIT_DESIGN!M27,IF(BENEFIT_PARAMETERS!C27=0,TRUE,FALSE),IF(BENEFIT_PARAMETERS!C27=0,FALSE,TRUE)),TRUE)</f>
        <v>0</v>
      </c>
      <c r="E27" s="159" t="b">
        <f>IF(BENEFIT_DESIGN!N27,IF(BENEFIT_PARAMETERS!D27=0,TRUE,FALSE),IF(BENEFIT_PARAMETERS!D27=0,FALSE,TRUE))</f>
        <v>0</v>
      </c>
      <c r="F27" s="159" t="b">
        <f>IF(BENEFIT_DESIGN!O27,IF(BENEFIT_PARAMETERS!E27=0,TRUE,FALSE),IF(BENEFIT_PARAMETERS!E27=0,FALSE,TRUE))</f>
        <v>0</v>
      </c>
      <c r="G27" s="159" t="b">
        <f>IF(BENEFIT_DESIGN!P27,IF(BENEFIT_PARAMETERS!F27=0,TRUE,FALSE),IF(BENEFIT_PARAMETERS!F27=0,FALSE,TRUE))</f>
        <v>0</v>
      </c>
      <c r="H27" s="159" t="b">
        <f>IF(BENEFIT_DESIGN!Q27,IF(BENEFIT_PARAMETERS!H27=0,TRUE,FALSE),IF(O27,FALSE,TRUE))</f>
        <v>0</v>
      </c>
      <c r="I27" s="159" t="b">
        <f>IF(BENEFIT_DESIGN!R27,IF(BENEFIT_PARAMETERS!I27&lt;=0,TRUE,FALSE),IF(P27,FALSE,TRUE))</f>
        <v>0</v>
      </c>
      <c r="J27" s="159" t="b">
        <f>IF(BENEFIT_DESIGN!S27,IF(BENEFIT_PARAMETERS!J27&lt;=0,TRUE,FALSE),IF(Q27,FALSE,TRUE))</f>
        <v>0</v>
      </c>
      <c r="K27" s="159" t="b">
        <f>IF(BENEFIT_DESIGN!T27,IF(BENEFIT_PARAMETERS!K27="None",FALSE,IF(BENEFIT_PARAMETERS!K27&gt;0,FALSE,TRUE)),IF(R27,FALSE,TRUE))</f>
        <v>0</v>
      </c>
      <c r="L27" s="159" t="b">
        <f>IF(BENEFIT_DESIGN!U27,IF(BENEFIT_PARAMETERS!L27="None",FALSE,IF(BENEFIT_PARAMETERS!L27&gt;0,FALSE,TRUE)),IF(S27,FALSE,TRUE))</f>
        <v>0</v>
      </c>
      <c r="M27" s="160" t="b">
        <f>IF(BENEFIT_DESIGN!V27,IF(BENEFIT_PARAMETERS!M27="Yes",FALSE,IF(BENEFIT_PARAMETERS!M27="No",FALSE,TRUE)),IF(T27,FALSE,TRUE))</f>
        <v>0</v>
      </c>
      <c r="N27" s="111"/>
      <c r="O27" s="169" t="b">
        <f>ISBLANK(BENEFIT_DESIGN!D27)</f>
        <v>1</v>
      </c>
      <c r="P27" s="170" t="b">
        <f>ISBLANK(BENEFIT_DESIGN!E27)</f>
        <v>1</v>
      </c>
      <c r="Q27" s="170" t="b">
        <f>ISBLANK(BENEFIT_DESIGN!F27)</f>
        <v>1</v>
      </c>
      <c r="R27" s="170" t="b">
        <f>ISBLANK(BENEFIT_DESIGN!G27)</f>
        <v>1</v>
      </c>
      <c r="S27" s="170" t="b">
        <f>ISBLANK(BENEFIT_DESIGN!H27)</f>
        <v>1</v>
      </c>
      <c r="T27" s="171" t="b">
        <f>ISBLANK(BENEFIT_DESIGN!I27)</f>
        <v>1</v>
      </c>
      <c r="U27" s="111"/>
    </row>
    <row r="28" spans="1:21" x14ac:dyDescent="0.25">
      <c r="A28" s="111"/>
      <c r="B28" s="34" t="str">
        <f>BENEFIT_DESIGN!B28</f>
        <v>Plan Deductible</v>
      </c>
      <c r="C28" s="153" t="b">
        <f>IF(BENEFIT_DESIGN!M28,IF(BENEFIT_DESIGN!C28&gt;0,FALSE,TRUE),IF(ISBLANK(BENEFIT_DESIGN!C28),FALSE,TRUE))</f>
        <v>0</v>
      </c>
      <c r="D28" s="44"/>
      <c r="E28" s="44"/>
      <c r="F28" s="44"/>
      <c r="G28" s="44"/>
      <c r="H28" s="44"/>
      <c r="I28" s="44"/>
      <c r="J28" s="44"/>
      <c r="K28" s="39"/>
      <c r="L28" s="39"/>
      <c r="M28" s="52"/>
      <c r="N28" s="111"/>
      <c r="O28" s="163"/>
      <c r="P28" s="44"/>
      <c r="Q28" s="44"/>
      <c r="R28" s="39"/>
      <c r="S28" s="39"/>
      <c r="T28" s="52"/>
      <c r="U28" s="111"/>
    </row>
    <row r="29" spans="1:21" x14ac:dyDescent="0.25">
      <c r="A29" s="111"/>
      <c r="B29" s="116" t="str">
        <f>BENEFIT_DESIGN!B29</f>
        <v>Rx Deductible</v>
      </c>
      <c r="C29" s="154" t="b">
        <f>IF(BENEFIT_DESIGN!N29,IF(BENEFIT_DESIGN!C29&gt;0,FALSE,TRUE),IF(ISBLANK(BENEFIT_DESIGN!C29),FALSE,TRUE))</f>
        <v>0</v>
      </c>
      <c r="D29" s="118"/>
      <c r="E29" s="118"/>
      <c r="F29" s="118"/>
      <c r="G29" s="118"/>
      <c r="H29" s="118"/>
      <c r="I29" s="118"/>
      <c r="J29" s="118"/>
      <c r="K29" s="119"/>
      <c r="L29" s="119"/>
      <c r="M29" s="120"/>
      <c r="N29" s="111"/>
      <c r="O29" s="164"/>
      <c r="P29" s="118"/>
      <c r="Q29" s="118"/>
      <c r="R29" s="119"/>
      <c r="S29" s="119"/>
      <c r="T29" s="120"/>
      <c r="U29" s="111"/>
    </row>
    <row r="30" spans="1:21" x14ac:dyDescent="0.25">
      <c r="A30" s="111"/>
      <c r="B30" s="116" t="str">
        <f>BENEFIT_DESIGN!B30</f>
        <v>Deductible C</v>
      </c>
      <c r="C30" s="154" t="b">
        <f>IF(BENEFIT_DESIGN!O30,IF(BENEFIT_DESIGN!C30&gt;0,FALSE,TRUE),IF(ISBLANK(BENEFIT_DESIGN!C30),FALSE,TRUE))</f>
        <v>0</v>
      </c>
      <c r="D30" s="118"/>
      <c r="E30" s="118"/>
      <c r="F30" s="118"/>
      <c r="G30" s="118"/>
      <c r="H30" s="118"/>
      <c r="I30" s="118"/>
      <c r="J30" s="118"/>
      <c r="K30" s="119"/>
      <c r="L30" s="119"/>
      <c r="M30" s="120"/>
      <c r="N30" s="111"/>
      <c r="O30" s="164"/>
      <c r="P30" s="118"/>
      <c r="Q30" s="118"/>
      <c r="R30" s="119"/>
      <c r="S30" s="119"/>
      <c r="T30" s="120"/>
      <c r="U30" s="111"/>
    </row>
    <row r="31" spans="1:21" x14ac:dyDescent="0.25">
      <c r="A31" s="111"/>
      <c r="B31" s="116" t="str">
        <f>BENEFIT_DESIGN!B31</f>
        <v>Deductible D</v>
      </c>
      <c r="C31" s="154" t="b">
        <f>IF(BENEFIT_DESIGN!P31,IF(BENEFIT_DESIGN!C31&gt;0,FALSE,TRUE),IF(ISBLANK(BENEFIT_DESIGN!C31),FALSE,TRUE))</f>
        <v>0</v>
      </c>
      <c r="D31" s="118"/>
      <c r="E31" s="118"/>
      <c r="F31" s="118"/>
      <c r="G31" s="118"/>
      <c r="H31" s="118"/>
      <c r="I31" s="118"/>
      <c r="J31" s="118"/>
      <c r="K31" s="119"/>
      <c r="L31" s="119"/>
      <c r="M31" s="120"/>
      <c r="N31" s="111"/>
      <c r="O31" s="164"/>
      <c r="P31" s="118"/>
      <c r="Q31" s="118"/>
      <c r="R31" s="119"/>
      <c r="S31" s="119"/>
      <c r="T31" s="120"/>
      <c r="U31" s="111"/>
    </row>
    <row r="32" spans="1:21" ht="15.75" thickBot="1" x14ac:dyDescent="0.3">
      <c r="A32" s="111"/>
      <c r="B32" s="45" t="str">
        <f>BENEFIT_DESIGN!B32</f>
        <v>Individual Out-of-Pocket (OOP) Limit</v>
      </c>
      <c r="C32" s="155" t="b">
        <f>IF(BENEFIT_DESIGN!V32,IF(BENEFIT_DESIGN!C32&gt;0,FALSE,TRUE),IF(ISBLANK(BENEFIT_DESIGN!C32),FALSE,TRUE))</f>
        <v>0</v>
      </c>
      <c r="D32" s="145"/>
      <c r="E32" s="145"/>
      <c r="F32" s="145"/>
      <c r="G32" s="145"/>
      <c r="H32" s="145"/>
      <c r="I32" s="48">
        <v>0</v>
      </c>
      <c r="J32" s="48"/>
      <c r="K32" s="49"/>
      <c r="L32" s="49"/>
      <c r="M32" s="53"/>
      <c r="N32" s="111"/>
      <c r="O32" s="165"/>
      <c r="P32" s="48">
        <v>0</v>
      </c>
      <c r="Q32" s="48"/>
      <c r="R32" s="49"/>
      <c r="S32" s="49"/>
      <c r="T32" s="53"/>
      <c r="U32" s="111"/>
    </row>
    <row r="33" spans="1:21" ht="15.75" thickBot="1" x14ac:dyDescent="0.3">
      <c r="A33" s="138"/>
      <c r="B33" s="138"/>
      <c r="C33" s="138"/>
      <c r="D33" s="138"/>
      <c r="E33" s="138"/>
      <c r="F33" s="138"/>
      <c r="G33" s="138"/>
      <c r="H33" s="139"/>
      <c r="I33" s="139"/>
      <c r="J33" s="139"/>
      <c r="K33" s="140"/>
      <c r="L33" s="140"/>
      <c r="M33" s="138"/>
      <c r="N33" s="138"/>
      <c r="O33" s="139"/>
      <c r="P33" s="139"/>
      <c r="Q33" s="139"/>
      <c r="R33" s="140"/>
      <c r="S33" s="140"/>
      <c r="T33" s="138"/>
      <c r="U33" s="138"/>
    </row>
    <row r="34" spans="1:21" ht="15.75" thickBot="1" x14ac:dyDescent="0.3">
      <c r="A34" s="111"/>
      <c r="B34" s="148" t="s">
        <v>255</v>
      </c>
      <c r="C34" s="172" t="b">
        <f>IF(COUNTIF(C8:M32,TRUE)=0,FALSE,TRUE)</f>
        <v>0</v>
      </c>
      <c r="D34" s="173" t="b">
        <f t="shared" ref="D34:M34" si="0">IF(COUNTIF(D8:D27,TRUE)=0,FALSE,TRUE)</f>
        <v>0</v>
      </c>
      <c r="E34" s="173" t="b">
        <f t="shared" ref="E34:G34" si="1">IF(COUNTIF(E8:E27,TRUE)=0,FALSE,TRUE)</f>
        <v>0</v>
      </c>
      <c r="F34" s="173" t="b">
        <f t="shared" si="1"/>
        <v>0</v>
      </c>
      <c r="G34" s="173" t="b">
        <f t="shared" si="1"/>
        <v>0</v>
      </c>
      <c r="H34" s="173" t="b">
        <f t="shared" si="0"/>
        <v>0</v>
      </c>
      <c r="I34" s="174" t="b">
        <f t="shared" si="0"/>
        <v>0</v>
      </c>
      <c r="J34" s="174" t="b">
        <f t="shared" si="0"/>
        <v>0</v>
      </c>
      <c r="K34" s="175" t="b">
        <f t="shared" si="0"/>
        <v>0</v>
      </c>
      <c r="L34" s="175" t="b">
        <f t="shared" si="0"/>
        <v>0</v>
      </c>
      <c r="M34" s="176" t="b">
        <f t="shared" si="0"/>
        <v>0</v>
      </c>
      <c r="N34" s="111"/>
      <c r="O34" s="149"/>
      <c r="P34" s="150">
        <v>0</v>
      </c>
      <c r="Q34" s="150"/>
      <c r="R34" s="151"/>
      <c r="S34" s="151"/>
      <c r="T34" s="152"/>
      <c r="U34" s="111"/>
    </row>
    <row r="35" spans="1:21" x14ac:dyDescent="0.25">
      <c r="A35" s="111"/>
      <c r="B35" s="111"/>
      <c r="C35" s="111"/>
      <c r="D35" s="111"/>
      <c r="E35" s="111"/>
      <c r="F35" s="111"/>
      <c r="G35" s="111"/>
      <c r="H35" s="112"/>
      <c r="I35" s="112"/>
      <c r="J35" s="112"/>
      <c r="K35" s="113"/>
      <c r="L35" s="113"/>
      <c r="M35" s="111"/>
      <c r="N35" s="111"/>
      <c r="O35" s="112"/>
      <c r="P35" s="112"/>
      <c r="Q35" s="112"/>
      <c r="R35" s="113"/>
      <c r="S35" s="113"/>
      <c r="T35" s="111"/>
      <c r="U35" s="111"/>
    </row>
    <row r="36" spans="1:21" x14ac:dyDescent="0.25">
      <c r="H36"/>
      <c r="I36"/>
      <c r="J36"/>
      <c r="K36"/>
      <c r="L36"/>
      <c r="O36"/>
      <c r="P36"/>
      <c r="Q36"/>
      <c r="R36"/>
      <c r="S36"/>
    </row>
  </sheetData>
  <conditionalFormatting sqref="C8:E8 C28:M32 C10:E27 H10:M27 H8:M8">
    <cfRule type="expression" dxfId="6" priority="9">
      <formula>C8=TRUE</formula>
    </cfRule>
  </conditionalFormatting>
  <conditionalFormatting sqref="C34:M34">
    <cfRule type="expression" dxfId="5" priority="8">
      <formula>C34=TRUE</formula>
    </cfRule>
  </conditionalFormatting>
  <conditionalFormatting sqref="C9:E9 H9:M9">
    <cfRule type="expression" dxfId="4" priority="5">
      <formula>C9=TRUE</formula>
    </cfRule>
  </conditionalFormatting>
  <conditionalFormatting sqref="F8 F10:F27">
    <cfRule type="expression" dxfId="3" priority="4">
      <formula>F8=TRUE</formula>
    </cfRule>
  </conditionalFormatting>
  <conditionalFormatting sqref="F9">
    <cfRule type="expression" dxfId="2" priority="3">
      <formula>F9=TRUE</formula>
    </cfRule>
  </conditionalFormatting>
  <conditionalFormatting sqref="G8 G10:G27">
    <cfRule type="expression" dxfId="1" priority="2">
      <formula>G8=TRUE</formula>
    </cfRule>
  </conditionalFormatting>
  <conditionalFormatting sqref="G9">
    <cfRule type="expression" dxfId="0" priority="1">
      <formula>G9=TRUE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N27"/>
  <sheetViews>
    <sheetView workbookViewId="0"/>
  </sheetViews>
  <sheetFormatPr defaultRowHeight="15" x14ac:dyDescent="0.25"/>
  <cols>
    <col min="1" max="1" width="43.7109375" bestFit="1" customWidth="1"/>
    <col min="2" max="2" width="24.7109375" bestFit="1" customWidth="1"/>
    <col min="3" max="10" width="12.7109375" customWidth="1"/>
    <col min="11" max="12" width="12.7109375" style="5" customWidth="1"/>
    <col min="13" max="13" width="12.7109375" customWidth="1"/>
    <col min="14" max="14" width="1.7109375" customWidth="1"/>
  </cols>
  <sheetData>
    <row r="3" spans="1:14" x14ac:dyDescent="0.25">
      <c r="A3" s="2" t="s">
        <v>377</v>
      </c>
    </row>
    <row r="6" spans="1:14" s="2" customFormat="1" x14ac:dyDescent="0.25">
      <c r="K6" s="15"/>
      <c r="L6" s="15"/>
      <c r="M6"/>
      <c r="N6"/>
    </row>
    <row r="7" spans="1:14" ht="45" x14ac:dyDescent="0.25">
      <c r="A7" s="1" t="s">
        <v>9</v>
      </c>
      <c r="B7" t="s">
        <v>15</v>
      </c>
      <c r="C7" s="7" t="s">
        <v>2</v>
      </c>
      <c r="D7" s="7" t="s">
        <v>192</v>
      </c>
      <c r="E7" s="7" t="s">
        <v>292</v>
      </c>
      <c r="F7" s="7" t="s">
        <v>293</v>
      </c>
      <c r="G7" s="7" t="s">
        <v>270</v>
      </c>
      <c r="H7" s="7" t="s">
        <v>3</v>
      </c>
      <c r="I7" s="7" t="s">
        <v>0</v>
      </c>
      <c r="J7" s="7" t="s">
        <v>1</v>
      </c>
      <c r="K7" s="12" t="s">
        <v>19</v>
      </c>
      <c r="L7" s="12" t="s">
        <v>20</v>
      </c>
      <c r="M7" s="7" t="s">
        <v>262</v>
      </c>
      <c r="N7" s="7"/>
    </row>
    <row r="8" spans="1:14" x14ac:dyDescent="0.25">
      <c r="A8" s="1" t="str">
        <f>BENEFIT_DESIGN!B8</f>
        <v>Inpatient Hospital Care (Facility)</v>
      </c>
      <c r="B8" t="str">
        <f>BENEFIT_DESIGN!C8</f>
        <v>Plan Deductible Only</v>
      </c>
      <c r="C8" s="9">
        <f>IF(BENEFIT_DESIGN!M8,BENEFIT_DESIGN!$C$28,0)</f>
        <v>1000</v>
      </c>
      <c r="D8" s="9">
        <f>IF(BENEFIT_DESIGN!N8,BENEFIT_DESIGN!$C$29,0)</f>
        <v>0</v>
      </c>
      <c r="E8" s="9">
        <f>IF(BENEFIT_DESIGN!O8,BENEFIT_DESIGN!$C$29,0)</f>
        <v>0</v>
      </c>
      <c r="F8" s="9">
        <f>IF(BENEFIT_DESIGN!P8,BENEFIT_DESIGN!$C$29,0)</f>
        <v>0</v>
      </c>
      <c r="G8" s="9">
        <f>IF(BENEFIT_DESIGN!V8,BENEFIT_DESIGN!$C$32,0)</f>
        <v>5000</v>
      </c>
      <c r="H8" s="9">
        <f>IF(BENEFIT_DESIGN!Q8,BENEFIT_DESIGN!D8,0)</f>
        <v>0</v>
      </c>
      <c r="I8" s="9">
        <f>IF(BENEFIT_DESIGN!R8,BENEFIT_DESIGN!E8,0)</f>
        <v>0</v>
      </c>
      <c r="J8" s="4">
        <f>IF(BENEFIT_DESIGN!S8,BENEFIT_DESIGN!F8,0)</f>
        <v>0</v>
      </c>
      <c r="K8" s="13" t="str">
        <f>IF(BENEFIT_DESIGN!G8=0,"None",BENEFIT_DESIGN!G8)</f>
        <v>None</v>
      </c>
      <c r="L8" s="13" t="str">
        <f>IF(BENEFIT_DESIGN!H8=0,"None",BENEFIT_DESIGN!H8)</f>
        <v>None</v>
      </c>
      <c r="M8" s="13" t="str">
        <f>IF(BENEFIT_DESIGN!I8=0,"None",BENEFIT_DESIGN!I8)</f>
        <v>Yes</v>
      </c>
    </row>
    <row r="9" spans="1:14" x14ac:dyDescent="0.25">
      <c r="A9" s="1" t="str">
        <f>BENEFIT_DESIGN!B9</f>
        <v>Other Facility Services</v>
      </c>
      <c r="B9" t="str">
        <f>BENEFIT_DESIGN!C9</f>
        <v>Plan Deductible Only</v>
      </c>
      <c r="C9" s="9">
        <f>IF(BENEFIT_DESIGN!M9,BENEFIT_DESIGN!$C$28,0)</f>
        <v>1000</v>
      </c>
      <c r="D9" s="9">
        <f>IF(BENEFIT_DESIGN!N9,BENEFIT_DESIGN!$C$29,0)</f>
        <v>0</v>
      </c>
      <c r="E9" s="9">
        <f>IF(BENEFIT_DESIGN!O9,BENEFIT_DESIGN!$C$29,0)</f>
        <v>0</v>
      </c>
      <c r="F9" s="9">
        <f>IF(BENEFIT_DESIGN!P9,BENEFIT_DESIGN!$C$29,0)</f>
        <v>0</v>
      </c>
      <c r="G9" s="9">
        <f>IF(BENEFIT_DESIGN!V9,BENEFIT_DESIGN!$C$32,0)</f>
        <v>5000</v>
      </c>
      <c r="H9" s="9">
        <f>IF(BENEFIT_DESIGN!Q9,BENEFIT_DESIGN!D9,0)</f>
        <v>0</v>
      </c>
      <c r="I9" s="9">
        <f>IF(BENEFIT_DESIGN!R9,BENEFIT_DESIGN!E9,0)</f>
        <v>0</v>
      </c>
      <c r="J9" s="4">
        <f>IF(BENEFIT_DESIGN!S9,BENEFIT_DESIGN!F9,0)</f>
        <v>0</v>
      </c>
      <c r="K9" s="13" t="str">
        <f>IF(BENEFIT_DESIGN!G9=0,"None",BENEFIT_DESIGN!G9)</f>
        <v>None</v>
      </c>
      <c r="L9" s="13" t="str">
        <f>IF(BENEFIT_DESIGN!H9=0,"None",BENEFIT_DESIGN!H9)</f>
        <v>None</v>
      </c>
      <c r="M9" s="13" t="str">
        <f>IF(BENEFIT_DESIGN!I9=0,"None",BENEFIT_DESIGN!I9)</f>
        <v>Yes</v>
      </c>
    </row>
    <row r="10" spans="1:14" x14ac:dyDescent="0.25">
      <c r="A10" s="1" t="str">
        <f>BENEFIT_DESIGN!B10</f>
        <v>Emergency Department (Facility)</v>
      </c>
      <c r="B10" t="str">
        <f>BENEFIT_DESIGN!C10</f>
        <v>Deductible C Only</v>
      </c>
      <c r="C10" s="9">
        <f>IF(BENEFIT_DESIGN!M10,BENEFIT_DESIGN!$C$28,0)</f>
        <v>0</v>
      </c>
      <c r="D10" s="9">
        <f>IF(BENEFIT_DESIGN!N10,BENEFIT_DESIGN!$C$29,0)</f>
        <v>0</v>
      </c>
      <c r="E10" s="9">
        <f>IF(BENEFIT_DESIGN!O10,BENEFIT_DESIGN!$C$29,0)</f>
        <v>100</v>
      </c>
      <c r="F10" s="9">
        <f>IF(BENEFIT_DESIGN!P10,BENEFIT_DESIGN!$C$29,0)</f>
        <v>0</v>
      </c>
      <c r="G10" s="9">
        <f>IF(BENEFIT_DESIGN!V10,BENEFIT_DESIGN!$C$32,0)</f>
        <v>5000</v>
      </c>
      <c r="H10" s="9">
        <f>IF(BENEFIT_DESIGN!Q10,BENEFIT_DESIGN!D10,0)</f>
        <v>0</v>
      </c>
      <c r="I10" s="9">
        <f>IF(BENEFIT_DESIGN!R10,BENEFIT_DESIGN!E10,0)</f>
        <v>0</v>
      </c>
      <c r="J10" s="4">
        <f>IF(BENEFIT_DESIGN!S10,BENEFIT_DESIGN!F10,0)</f>
        <v>0</v>
      </c>
      <c r="K10" s="13" t="str">
        <f>IF(BENEFIT_DESIGN!G10=0,"None",BENEFIT_DESIGN!G10)</f>
        <v>None</v>
      </c>
      <c r="L10" s="13" t="str">
        <f>IF(BENEFIT_DESIGN!H10=0,"None",BENEFIT_DESIGN!H10)</f>
        <v>None</v>
      </c>
      <c r="M10" s="13" t="str">
        <f>IF(BENEFIT_DESIGN!I10=0,"None",BENEFIT_DESIGN!I10)</f>
        <v>Yes</v>
      </c>
    </row>
    <row r="11" spans="1:14" x14ac:dyDescent="0.25">
      <c r="A11" s="1" t="str">
        <f>BENEFIT_DESIGN!B11</f>
        <v>Ambulance</v>
      </c>
      <c r="B11" t="str">
        <f>BENEFIT_DESIGN!C11</f>
        <v>Deductible C Only</v>
      </c>
      <c r="C11" s="9">
        <f>IF(BENEFIT_DESIGN!M11,BENEFIT_DESIGN!$C$28,0)</f>
        <v>0</v>
      </c>
      <c r="D11" s="9">
        <f>IF(BENEFIT_DESIGN!N11,BENEFIT_DESIGN!$C$29,0)</f>
        <v>0</v>
      </c>
      <c r="E11" s="9">
        <f>IF(BENEFIT_DESIGN!O11,BENEFIT_DESIGN!$C$29,0)</f>
        <v>100</v>
      </c>
      <c r="F11" s="9">
        <f>IF(BENEFIT_DESIGN!P11,BENEFIT_DESIGN!$C$29,0)</f>
        <v>0</v>
      </c>
      <c r="G11" s="9">
        <f>IF(BENEFIT_DESIGN!V11,BENEFIT_DESIGN!$C$32,0)</f>
        <v>5000</v>
      </c>
      <c r="H11" s="9">
        <f>IF(BENEFIT_DESIGN!Q11,BENEFIT_DESIGN!D11,0)</f>
        <v>0</v>
      </c>
      <c r="I11" s="9">
        <f>IF(BENEFIT_DESIGN!R11,BENEFIT_DESIGN!E11,0)</f>
        <v>0</v>
      </c>
      <c r="J11" s="4">
        <f>IF(BENEFIT_DESIGN!S11,BENEFIT_DESIGN!F11,0)</f>
        <v>0</v>
      </c>
      <c r="K11" s="13" t="str">
        <f>IF(BENEFIT_DESIGN!G11=0,"None",BENEFIT_DESIGN!G11)</f>
        <v>None</v>
      </c>
      <c r="L11" s="13" t="str">
        <f>IF(BENEFIT_DESIGN!H11=0,"None",BENEFIT_DESIGN!H11)</f>
        <v>None</v>
      </c>
      <c r="M11" s="13" t="str">
        <f>IF(BENEFIT_DESIGN!I11=0,"None",BENEFIT_DESIGN!I11)</f>
        <v>Yes</v>
      </c>
    </row>
    <row r="12" spans="1:14" x14ac:dyDescent="0.25">
      <c r="A12" s="1" t="str">
        <f>BENEFIT_DESIGN!B12</f>
        <v>Professional Services: Primary Care</v>
      </c>
      <c r="B12" t="str">
        <f>BENEFIT_DESIGN!C12</f>
        <v>Copayment Only</v>
      </c>
      <c r="C12" s="9">
        <f>IF(BENEFIT_DESIGN!M12,BENEFIT_DESIGN!$C$28,0)</f>
        <v>0</v>
      </c>
      <c r="D12" s="9">
        <f>IF(BENEFIT_DESIGN!N12,BENEFIT_DESIGN!$C$29,0)</f>
        <v>0</v>
      </c>
      <c r="E12" s="9">
        <f>IF(BENEFIT_DESIGN!O12,BENEFIT_DESIGN!$C$29,0)</f>
        <v>0</v>
      </c>
      <c r="F12" s="9">
        <f>IF(BENEFIT_DESIGN!P12,BENEFIT_DESIGN!$C$29,0)</f>
        <v>0</v>
      </c>
      <c r="G12" s="9">
        <f>IF(BENEFIT_DESIGN!V12,BENEFIT_DESIGN!$C$32,0)</f>
        <v>5000</v>
      </c>
      <c r="H12" s="9">
        <f>IF(BENEFIT_DESIGN!Q12,BENEFIT_DESIGN!D12,0)</f>
        <v>0</v>
      </c>
      <c r="I12" s="9">
        <f>IF(BENEFIT_DESIGN!R12,BENEFIT_DESIGN!E12,0)</f>
        <v>30</v>
      </c>
      <c r="J12" s="4">
        <f>IF(BENEFIT_DESIGN!S12,BENEFIT_DESIGN!F12,0)</f>
        <v>0</v>
      </c>
      <c r="K12" s="13" t="str">
        <f>IF(BENEFIT_DESIGN!G12=0,"None",BENEFIT_DESIGN!G12)</f>
        <v>None</v>
      </c>
      <c r="L12" s="13" t="str">
        <f>IF(BENEFIT_DESIGN!H12=0,"None",BENEFIT_DESIGN!H12)</f>
        <v>None</v>
      </c>
      <c r="M12" s="13" t="str">
        <f>IF(BENEFIT_DESIGN!I12=0,"None",BENEFIT_DESIGN!I12)</f>
        <v>Yes</v>
      </c>
    </row>
    <row r="13" spans="1:14" x14ac:dyDescent="0.25">
      <c r="A13" s="1" t="str">
        <f>BENEFIT_DESIGN!B13</f>
        <v>Professional Services: Emergency Department</v>
      </c>
      <c r="B13" t="str">
        <f>BENEFIT_DESIGN!C13</f>
        <v>Deductible C Only</v>
      </c>
      <c r="C13" s="9">
        <f>IF(BENEFIT_DESIGN!M13,BENEFIT_DESIGN!$C$28,0)</f>
        <v>0</v>
      </c>
      <c r="D13" s="9">
        <f>IF(BENEFIT_DESIGN!N13,BENEFIT_DESIGN!$C$29,0)</f>
        <v>0</v>
      </c>
      <c r="E13" s="9">
        <f>IF(BENEFIT_DESIGN!O13,BENEFIT_DESIGN!$C$29,0)</f>
        <v>100</v>
      </c>
      <c r="F13" s="9">
        <f>IF(BENEFIT_DESIGN!P13,BENEFIT_DESIGN!$C$29,0)</f>
        <v>0</v>
      </c>
      <c r="G13" s="9">
        <f>IF(BENEFIT_DESIGN!V13,BENEFIT_DESIGN!$C$32,0)</f>
        <v>5000</v>
      </c>
      <c r="H13" s="9">
        <f>IF(BENEFIT_DESIGN!Q13,BENEFIT_DESIGN!D13,0)</f>
        <v>0</v>
      </c>
      <c r="I13" s="9">
        <f>IF(BENEFIT_DESIGN!R13,BENEFIT_DESIGN!E13,0)</f>
        <v>0</v>
      </c>
      <c r="J13" s="4">
        <f>IF(BENEFIT_DESIGN!S13,BENEFIT_DESIGN!F13,0)</f>
        <v>0</v>
      </c>
      <c r="K13" s="13" t="str">
        <f>IF(BENEFIT_DESIGN!G13=0,"None",BENEFIT_DESIGN!G13)</f>
        <v>None</v>
      </c>
      <c r="L13" s="13" t="str">
        <f>IF(BENEFIT_DESIGN!H13=0,"None",BENEFIT_DESIGN!H13)</f>
        <v>None</v>
      </c>
      <c r="M13" s="13" t="str">
        <f>IF(BENEFIT_DESIGN!I13=0,"None",BENEFIT_DESIGN!I13)</f>
        <v>Yes</v>
      </c>
    </row>
    <row r="14" spans="1:14" x14ac:dyDescent="0.25">
      <c r="A14" s="1" t="str">
        <f>BENEFIT_DESIGN!B14</f>
        <v>Professional Services: Specialist</v>
      </c>
      <c r="B14" t="str">
        <f>BENEFIT_DESIGN!C14</f>
        <v>Plan Deductible Only</v>
      </c>
      <c r="C14" s="9">
        <f>IF(BENEFIT_DESIGN!M14,BENEFIT_DESIGN!$C$28,0)</f>
        <v>1000</v>
      </c>
      <c r="D14" s="9">
        <f>IF(BENEFIT_DESIGN!N14,BENEFIT_DESIGN!$C$29,0)</f>
        <v>0</v>
      </c>
      <c r="E14" s="9">
        <f>IF(BENEFIT_DESIGN!O14,BENEFIT_DESIGN!$C$29,0)</f>
        <v>0</v>
      </c>
      <c r="F14" s="9">
        <f>IF(BENEFIT_DESIGN!P14,BENEFIT_DESIGN!$C$29,0)</f>
        <v>0</v>
      </c>
      <c r="G14" s="9">
        <f>IF(BENEFIT_DESIGN!V14,BENEFIT_DESIGN!$C$32,0)</f>
        <v>5000</v>
      </c>
      <c r="H14" s="9">
        <f>IF(BENEFIT_DESIGN!Q14,BENEFIT_DESIGN!D14,0)</f>
        <v>0</v>
      </c>
      <c r="I14" s="9">
        <f>IF(BENEFIT_DESIGN!R14,BENEFIT_DESIGN!E14,0)</f>
        <v>0</v>
      </c>
      <c r="J14" s="4">
        <f>IF(BENEFIT_DESIGN!S14,BENEFIT_DESIGN!F14,0)</f>
        <v>0</v>
      </c>
      <c r="K14" s="13" t="str">
        <f>IF(BENEFIT_DESIGN!G14=0,"None",BENEFIT_DESIGN!G14)</f>
        <v>None</v>
      </c>
      <c r="L14" s="13" t="str">
        <f>IF(BENEFIT_DESIGN!H14=0,"None",BENEFIT_DESIGN!H14)</f>
        <v>None</v>
      </c>
      <c r="M14" s="13" t="str">
        <f>IF(BENEFIT_DESIGN!I14=0,"None",BENEFIT_DESIGN!I14)</f>
        <v>Yes</v>
      </c>
    </row>
    <row r="15" spans="1:14" x14ac:dyDescent="0.25">
      <c r="A15" s="1" t="str">
        <f>BENEFIT_DESIGN!B15</f>
        <v>Professional Services: Obstetric Care (Bundled)</v>
      </c>
      <c r="B15" t="str">
        <f>BENEFIT_DESIGN!C15</f>
        <v>Plan Deductible Only</v>
      </c>
      <c r="C15" s="9">
        <f>IF(BENEFIT_DESIGN!M15,BENEFIT_DESIGN!$C$28,0)</f>
        <v>1000</v>
      </c>
      <c r="D15" s="9">
        <f>IF(BENEFIT_DESIGN!N15,BENEFIT_DESIGN!$C$29,0)</f>
        <v>0</v>
      </c>
      <c r="E15" s="9">
        <f>IF(BENEFIT_DESIGN!O15,BENEFIT_DESIGN!$C$29,0)</f>
        <v>0</v>
      </c>
      <c r="F15" s="9">
        <f>IF(BENEFIT_DESIGN!P15,BENEFIT_DESIGN!$C$29,0)</f>
        <v>0</v>
      </c>
      <c r="G15" s="9">
        <f>IF(BENEFIT_DESIGN!V15,BENEFIT_DESIGN!$C$32,0)</f>
        <v>5000</v>
      </c>
      <c r="H15" s="9">
        <f>IF(BENEFIT_DESIGN!Q15,BENEFIT_DESIGN!D15,0)</f>
        <v>0</v>
      </c>
      <c r="I15" s="9">
        <f>IF(BENEFIT_DESIGN!R15,BENEFIT_DESIGN!E15,0)</f>
        <v>0</v>
      </c>
      <c r="J15" s="4">
        <f>IF(BENEFIT_DESIGN!S15,BENEFIT_DESIGN!F15,0)</f>
        <v>0</v>
      </c>
      <c r="K15" s="13" t="str">
        <f>IF(BENEFIT_DESIGN!G15=0,"None",BENEFIT_DESIGN!G15)</f>
        <v>None</v>
      </c>
      <c r="L15" s="13" t="str">
        <f>IF(BENEFIT_DESIGN!H15=0,"None",BENEFIT_DESIGN!H15)</f>
        <v>None</v>
      </c>
      <c r="M15" s="13" t="str">
        <f>IF(BENEFIT_DESIGN!I15=0,"None",BENEFIT_DESIGN!I15)</f>
        <v>Yes</v>
      </c>
      <c r="N15" s="7"/>
    </row>
    <row r="16" spans="1:14" x14ac:dyDescent="0.25">
      <c r="A16" s="1" t="str">
        <f>BENEFIT_DESIGN!B16</f>
        <v>Professional Services: Procedures &amp; Other</v>
      </c>
      <c r="B16" t="str">
        <f>BENEFIT_DESIGN!C16</f>
        <v>Plan Deductible Only</v>
      </c>
      <c r="C16" s="9">
        <f>IF(BENEFIT_DESIGN!M16,BENEFIT_DESIGN!$C$28,0)</f>
        <v>1000</v>
      </c>
      <c r="D16" s="9">
        <f>IF(BENEFIT_DESIGN!N16,BENEFIT_DESIGN!$C$29,0)</f>
        <v>0</v>
      </c>
      <c r="E16" s="9">
        <f>IF(BENEFIT_DESIGN!O16,BENEFIT_DESIGN!$C$29,0)</f>
        <v>0</v>
      </c>
      <c r="F16" s="9">
        <f>IF(BENEFIT_DESIGN!P16,BENEFIT_DESIGN!$C$29,0)</f>
        <v>0</v>
      </c>
      <c r="G16" s="9">
        <f>IF(BENEFIT_DESIGN!V16,BENEFIT_DESIGN!$C$32,0)</f>
        <v>5000</v>
      </c>
      <c r="H16" s="9">
        <f>IF(BENEFIT_DESIGN!Q16,BENEFIT_DESIGN!D16,0)</f>
        <v>0</v>
      </c>
      <c r="I16" s="9">
        <f>IF(BENEFIT_DESIGN!R16,BENEFIT_DESIGN!E16,0)</f>
        <v>0</v>
      </c>
      <c r="J16" s="4">
        <f>IF(BENEFIT_DESIGN!S16,BENEFIT_DESIGN!F16,0)</f>
        <v>0</v>
      </c>
      <c r="K16" s="13" t="str">
        <f>IF(BENEFIT_DESIGN!G16=0,"None",BENEFIT_DESIGN!G16)</f>
        <v>None</v>
      </c>
      <c r="L16" s="13" t="str">
        <f>IF(BENEFIT_DESIGN!H16=0,"None",BENEFIT_DESIGN!H16)</f>
        <v>None</v>
      </c>
      <c r="M16" s="13" t="str">
        <f>IF(BENEFIT_DESIGN!I16=0,"None",BENEFIT_DESIGN!I16)</f>
        <v>Yes</v>
      </c>
      <c r="N16" s="7"/>
    </row>
    <row r="17" spans="1:14" x14ac:dyDescent="0.25">
      <c r="A17" s="1" t="str">
        <f>BENEFIT_DESIGN!B17</f>
        <v>Professional Services: Physical Therapy</v>
      </c>
      <c r="B17" t="str">
        <f>BENEFIT_DESIGN!C17</f>
        <v>Plan Deductible Only</v>
      </c>
      <c r="C17" s="9">
        <f>IF(BENEFIT_DESIGN!M17,BENEFIT_DESIGN!$C$28,0)</f>
        <v>1000</v>
      </c>
      <c r="D17" s="9">
        <f>IF(BENEFIT_DESIGN!N17,BENEFIT_DESIGN!$C$29,0)</f>
        <v>0</v>
      </c>
      <c r="E17" s="9">
        <f>IF(BENEFIT_DESIGN!O17,BENEFIT_DESIGN!$C$29,0)</f>
        <v>0</v>
      </c>
      <c r="F17" s="9">
        <f>IF(BENEFIT_DESIGN!P17,BENEFIT_DESIGN!$C$29,0)</f>
        <v>0</v>
      </c>
      <c r="G17" s="9">
        <f>IF(BENEFIT_DESIGN!V17,BENEFIT_DESIGN!$C$32,0)</f>
        <v>5000</v>
      </c>
      <c r="H17" s="9">
        <f>IF(BENEFIT_DESIGN!Q17,BENEFIT_DESIGN!D17,0)</f>
        <v>0</v>
      </c>
      <c r="I17" s="9">
        <f>IF(BENEFIT_DESIGN!R17,BENEFIT_DESIGN!E17,0)</f>
        <v>0</v>
      </c>
      <c r="J17" s="4">
        <f>IF(BENEFIT_DESIGN!S17,BENEFIT_DESIGN!F17,0)</f>
        <v>0</v>
      </c>
      <c r="K17" s="13" t="str">
        <f>IF(BENEFIT_DESIGN!G17=0,"None",BENEFIT_DESIGN!G17)</f>
        <v>None</v>
      </c>
      <c r="L17" s="13" t="str">
        <f>IF(BENEFIT_DESIGN!H17=0,"None",BENEFIT_DESIGN!H17)</f>
        <v>None</v>
      </c>
      <c r="M17" s="13" t="str">
        <f>IF(BENEFIT_DESIGN!I17=0,"None",BENEFIT_DESIGN!I17)</f>
        <v>Yes</v>
      </c>
      <c r="N17" s="7"/>
    </row>
    <row r="18" spans="1:14" x14ac:dyDescent="0.25">
      <c r="A18" s="1" t="str">
        <f>BENEFIT_DESIGN!B18</f>
        <v>Diagnostic Services: Radiology</v>
      </c>
      <c r="B18" t="str">
        <f>BENEFIT_DESIGN!C18</f>
        <v>Plan Deductible Only</v>
      </c>
      <c r="C18" s="9">
        <f>IF(BENEFIT_DESIGN!M18,BENEFIT_DESIGN!$C$28,0)</f>
        <v>1000</v>
      </c>
      <c r="D18" s="9">
        <f>IF(BENEFIT_DESIGN!N18,BENEFIT_DESIGN!$C$29,0)</f>
        <v>0</v>
      </c>
      <c r="E18" s="9">
        <f>IF(BENEFIT_DESIGN!O18,BENEFIT_DESIGN!$C$29,0)</f>
        <v>0</v>
      </c>
      <c r="F18" s="9">
        <f>IF(BENEFIT_DESIGN!P18,BENEFIT_DESIGN!$C$29,0)</f>
        <v>0</v>
      </c>
      <c r="G18" s="9">
        <f>IF(BENEFIT_DESIGN!V18,BENEFIT_DESIGN!$C$32,0)</f>
        <v>5000</v>
      </c>
      <c r="H18" s="9">
        <f>IF(BENEFIT_DESIGN!Q18,BENEFIT_DESIGN!D18,0)</f>
        <v>0</v>
      </c>
      <c r="I18" s="9">
        <f>IF(BENEFIT_DESIGN!R18,BENEFIT_DESIGN!E18,0)</f>
        <v>0</v>
      </c>
      <c r="J18" s="4">
        <f>IF(BENEFIT_DESIGN!S18,BENEFIT_DESIGN!F18,0)</f>
        <v>0</v>
      </c>
      <c r="K18" s="13" t="str">
        <f>IF(BENEFIT_DESIGN!G18=0,"None",BENEFIT_DESIGN!G18)</f>
        <v>None</v>
      </c>
      <c r="L18" s="13" t="str">
        <f>IF(BENEFIT_DESIGN!H18=0,"None",BENEFIT_DESIGN!H18)</f>
        <v>None</v>
      </c>
      <c r="M18" s="13" t="str">
        <f>IF(BENEFIT_DESIGN!I18=0,"None",BENEFIT_DESIGN!I18)</f>
        <v>Yes</v>
      </c>
    </row>
    <row r="19" spans="1:14" x14ac:dyDescent="0.25">
      <c r="A19" s="1" t="str">
        <f>BENEFIT_DESIGN!B19</f>
        <v>Diagnostic Services: Laboratory</v>
      </c>
      <c r="B19" t="str">
        <f>BENEFIT_DESIGN!C19</f>
        <v>Plan Deductible Only</v>
      </c>
      <c r="C19" s="9">
        <f>IF(BENEFIT_DESIGN!M19,BENEFIT_DESIGN!$C$28,0)</f>
        <v>1000</v>
      </c>
      <c r="D19" s="9">
        <f>IF(BENEFIT_DESIGN!N19,BENEFIT_DESIGN!$C$29,0)</f>
        <v>0</v>
      </c>
      <c r="E19" s="9">
        <f>IF(BENEFIT_DESIGN!O19,BENEFIT_DESIGN!$C$29,0)</f>
        <v>0</v>
      </c>
      <c r="F19" s="9">
        <f>IF(BENEFIT_DESIGN!P19,BENEFIT_DESIGN!$C$29,0)</f>
        <v>0</v>
      </c>
      <c r="G19" s="9">
        <f>IF(BENEFIT_DESIGN!V19,BENEFIT_DESIGN!$C$32,0)</f>
        <v>5000</v>
      </c>
      <c r="H19" s="9">
        <f>IF(BENEFIT_DESIGN!Q19,BENEFIT_DESIGN!D19,0)</f>
        <v>0</v>
      </c>
      <c r="I19" s="9">
        <f>IF(BENEFIT_DESIGN!R19,BENEFIT_DESIGN!E19,0)</f>
        <v>0</v>
      </c>
      <c r="J19" s="4">
        <f>IF(BENEFIT_DESIGN!S19,BENEFIT_DESIGN!F19,0)</f>
        <v>0</v>
      </c>
      <c r="K19" s="13" t="str">
        <f>IF(BENEFIT_DESIGN!G19=0,"None",BENEFIT_DESIGN!G19)</f>
        <v>None</v>
      </c>
      <c r="L19" s="13" t="str">
        <f>IF(BENEFIT_DESIGN!H19=0,"None",BENEFIT_DESIGN!H19)</f>
        <v>None</v>
      </c>
      <c r="M19" s="13" t="str">
        <f>IF(BENEFIT_DESIGN!I19=0,"None",BENEFIT_DESIGN!I19)</f>
        <v>Yes</v>
      </c>
    </row>
    <row r="20" spans="1:14" x14ac:dyDescent="0.25">
      <c r="A20" s="1" t="str">
        <f>BENEFIT_DESIGN!B20</f>
        <v>Prescription Drugs: Generic</v>
      </c>
      <c r="B20" t="str">
        <f>BENEFIT_DESIGN!C20</f>
        <v>Rx Deductible+Co-pay</v>
      </c>
      <c r="C20" s="9">
        <f>IF(BENEFIT_DESIGN!M20,BENEFIT_DESIGN!$C$28,0)</f>
        <v>0</v>
      </c>
      <c r="D20" s="9">
        <f>IF(BENEFIT_DESIGN!N20,BENEFIT_DESIGN!$C$29,0)</f>
        <v>100</v>
      </c>
      <c r="E20" s="9">
        <f>IF(BENEFIT_DESIGN!O20,BENEFIT_DESIGN!$C$29,0)</f>
        <v>0</v>
      </c>
      <c r="F20" s="9">
        <f>IF(BENEFIT_DESIGN!P20,BENEFIT_DESIGN!$C$29,0)</f>
        <v>0</v>
      </c>
      <c r="G20" s="9">
        <f>IF(BENEFIT_DESIGN!V20,BENEFIT_DESIGN!$C$32,0)</f>
        <v>5000</v>
      </c>
      <c r="H20" s="9">
        <f>IF(BENEFIT_DESIGN!Q20,BENEFIT_DESIGN!D20,0)</f>
        <v>0</v>
      </c>
      <c r="I20" s="9">
        <f>IF(BENEFIT_DESIGN!R20,BENEFIT_DESIGN!E20,0)</f>
        <v>10</v>
      </c>
      <c r="J20" s="4">
        <f>IF(BENEFIT_DESIGN!S20,BENEFIT_DESIGN!F20,0)</f>
        <v>0</v>
      </c>
      <c r="K20" s="13" t="str">
        <f>IF(BENEFIT_DESIGN!G20=0,"None",BENEFIT_DESIGN!G20)</f>
        <v>None</v>
      </c>
      <c r="L20" s="13" t="str">
        <f>IF(BENEFIT_DESIGN!H20=0,"None",BENEFIT_DESIGN!H20)</f>
        <v>None</v>
      </c>
      <c r="M20" s="13" t="str">
        <f>IF(BENEFIT_DESIGN!I20=0,"None",BENEFIT_DESIGN!I20)</f>
        <v>Yes</v>
      </c>
    </row>
    <row r="21" spans="1:14" x14ac:dyDescent="0.25">
      <c r="A21" s="1" t="str">
        <f>BENEFIT_DESIGN!B21</f>
        <v>Prescription Drugs: Branded</v>
      </c>
      <c r="B21" t="str">
        <f>BENEFIT_DESIGN!C21</f>
        <v>Rx Deductible+Co-pay</v>
      </c>
      <c r="C21" s="9">
        <f>IF(BENEFIT_DESIGN!M21,BENEFIT_DESIGN!$C$28,0)</f>
        <v>0</v>
      </c>
      <c r="D21" s="9">
        <f>IF(BENEFIT_DESIGN!N21,BENEFIT_DESIGN!$C$29,0)</f>
        <v>100</v>
      </c>
      <c r="E21" s="9">
        <f>IF(BENEFIT_DESIGN!O21,BENEFIT_DESIGN!$C$29,0)</f>
        <v>0</v>
      </c>
      <c r="F21" s="9">
        <f>IF(BENEFIT_DESIGN!P21,BENEFIT_DESIGN!$C$29,0)</f>
        <v>0</v>
      </c>
      <c r="G21" s="9">
        <f>IF(BENEFIT_DESIGN!V21,BENEFIT_DESIGN!$C$32,0)</f>
        <v>5000</v>
      </c>
      <c r="H21" s="9">
        <f>IF(BENEFIT_DESIGN!Q21,BENEFIT_DESIGN!D21,0)</f>
        <v>0</v>
      </c>
      <c r="I21" s="9">
        <f>IF(BENEFIT_DESIGN!R21,BENEFIT_DESIGN!E21,0)</f>
        <v>30</v>
      </c>
      <c r="J21" s="4">
        <f>IF(BENEFIT_DESIGN!S21,BENEFIT_DESIGN!F21,0)</f>
        <v>0</v>
      </c>
      <c r="K21" s="13" t="str">
        <f>IF(BENEFIT_DESIGN!G21=0,"None",BENEFIT_DESIGN!G21)</f>
        <v>None</v>
      </c>
      <c r="L21" s="13" t="str">
        <f>IF(BENEFIT_DESIGN!H21=0,"None",BENEFIT_DESIGN!H21)</f>
        <v>None</v>
      </c>
      <c r="M21" s="13" t="str">
        <f>IF(BENEFIT_DESIGN!I21=0,"None",BENEFIT_DESIGN!I21)</f>
        <v>Yes</v>
      </c>
    </row>
    <row r="22" spans="1:14" x14ac:dyDescent="0.25">
      <c r="A22" s="1" t="str">
        <f>BENEFIT_DESIGN!B22</f>
        <v>Over-the-counter Drugs</v>
      </c>
      <c r="B22" t="str">
        <f>BENEFIT_DESIGN!C22</f>
        <v>Not Covered</v>
      </c>
      <c r="C22" s="9">
        <f>IF(BENEFIT_DESIGN!M22,BENEFIT_DESIGN!$C$28,0)</f>
        <v>0</v>
      </c>
      <c r="D22" s="9">
        <f>IF(BENEFIT_DESIGN!N22,BENEFIT_DESIGN!$C$29,0)</f>
        <v>0</v>
      </c>
      <c r="E22" s="9">
        <f>IF(BENEFIT_DESIGN!O22,BENEFIT_DESIGN!$C$29,0)</f>
        <v>0</v>
      </c>
      <c r="F22" s="9">
        <f>IF(BENEFIT_DESIGN!P22,BENEFIT_DESIGN!$C$29,0)</f>
        <v>0</v>
      </c>
      <c r="G22" s="9">
        <f>IF(BENEFIT_DESIGN!V22,BENEFIT_DESIGN!$C$32,0)</f>
        <v>0</v>
      </c>
      <c r="H22" s="9">
        <f>IF(BENEFIT_DESIGN!Q22,BENEFIT_DESIGN!D22,0)</f>
        <v>0</v>
      </c>
      <c r="I22" s="9">
        <f>IF(BENEFIT_DESIGN!R22,BENEFIT_DESIGN!E22,0)</f>
        <v>0</v>
      </c>
      <c r="J22" s="4">
        <f>IF(BENEFIT_DESIGN!S22,BENEFIT_DESIGN!F22,0)</f>
        <v>0</v>
      </c>
      <c r="K22" s="13" t="str">
        <f>IF(BENEFIT_DESIGN!G22=0,"None",BENEFIT_DESIGN!G22)</f>
        <v>None</v>
      </c>
      <c r="L22" s="13" t="str">
        <f>IF(BENEFIT_DESIGN!H22=0,"None",BENEFIT_DESIGN!H22)</f>
        <v>None</v>
      </c>
      <c r="M22" s="13" t="str">
        <f>IF(BENEFIT_DESIGN!I22=0,"None",BENEFIT_DESIGN!I22)</f>
        <v>None</v>
      </c>
    </row>
    <row r="23" spans="1:14" x14ac:dyDescent="0.25">
      <c r="A23" s="1" t="str">
        <f>BENEFIT_DESIGN!B23</f>
        <v>Preventive Services &amp; Vaccines</v>
      </c>
      <c r="B23" t="str">
        <f>BENEFIT_DESIGN!C23</f>
        <v>No Cost Sharing</v>
      </c>
      <c r="C23" s="9">
        <f>IF(BENEFIT_DESIGN!M23,BENEFIT_DESIGN!$C$28,0)</f>
        <v>0</v>
      </c>
      <c r="D23" s="9">
        <f>IF(BENEFIT_DESIGN!N23,BENEFIT_DESIGN!$C$29,0)</f>
        <v>0</v>
      </c>
      <c r="E23" s="9">
        <f>IF(BENEFIT_DESIGN!O23,BENEFIT_DESIGN!$C$29,0)</f>
        <v>0</v>
      </c>
      <c r="F23" s="9">
        <f>IF(BENEFIT_DESIGN!P23,BENEFIT_DESIGN!$C$29,0)</f>
        <v>0</v>
      </c>
      <c r="G23" s="9">
        <f>IF(BENEFIT_DESIGN!V23,BENEFIT_DESIGN!$C$32,0)</f>
        <v>5000</v>
      </c>
      <c r="H23" s="9">
        <f>IF(BENEFIT_DESIGN!Q23,BENEFIT_DESIGN!D23,0)</f>
        <v>0</v>
      </c>
      <c r="I23" s="9">
        <f>IF(BENEFIT_DESIGN!R23,BENEFIT_DESIGN!E23,0)</f>
        <v>0</v>
      </c>
      <c r="J23" s="4">
        <f>IF(BENEFIT_DESIGN!S23,BENEFIT_DESIGN!F23,0)</f>
        <v>0</v>
      </c>
      <c r="K23" s="13" t="str">
        <f>IF(BENEFIT_DESIGN!G23=0,"None",BENEFIT_DESIGN!G23)</f>
        <v>None</v>
      </c>
      <c r="L23" s="13" t="str">
        <f>IF(BENEFIT_DESIGN!H23=0,"None",BENEFIT_DESIGN!H23)</f>
        <v>None</v>
      </c>
      <c r="M23" s="13" t="str">
        <f>IF(BENEFIT_DESIGN!I23=0,"None",BENEFIT_DESIGN!I23)</f>
        <v>Yes</v>
      </c>
    </row>
    <row r="24" spans="1:14" x14ac:dyDescent="0.25">
      <c r="A24" s="1" t="str">
        <f>BENEFIT_DESIGN!B24</f>
        <v>Durable Medical Equipment</v>
      </c>
      <c r="B24" t="str">
        <f>BENEFIT_DESIGN!C24</f>
        <v>Plan Deductible Only</v>
      </c>
      <c r="C24" s="9">
        <f>IF(BENEFIT_DESIGN!M24,BENEFIT_DESIGN!$C$28,0)</f>
        <v>1000</v>
      </c>
      <c r="D24" s="9">
        <f>IF(BENEFIT_DESIGN!N24,BENEFIT_DESIGN!$C$29,0)</f>
        <v>0</v>
      </c>
      <c r="E24" s="9">
        <f>IF(BENEFIT_DESIGN!O24,BENEFIT_DESIGN!$C$29,0)</f>
        <v>0</v>
      </c>
      <c r="F24" s="9">
        <f>IF(BENEFIT_DESIGN!P24,BENEFIT_DESIGN!$C$29,0)</f>
        <v>0</v>
      </c>
      <c r="G24" s="9">
        <f>IF(BENEFIT_DESIGN!V24,BENEFIT_DESIGN!$C$32,0)</f>
        <v>5000</v>
      </c>
      <c r="H24" s="9">
        <f>IF(BENEFIT_DESIGN!Q24,BENEFIT_DESIGN!D24,0)</f>
        <v>0</v>
      </c>
      <c r="I24" s="9">
        <f>IF(BENEFIT_DESIGN!R24,BENEFIT_DESIGN!E24,0)</f>
        <v>0</v>
      </c>
      <c r="J24" s="4">
        <f>IF(BENEFIT_DESIGN!S24,BENEFIT_DESIGN!F24,0)</f>
        <v>0</v>
      </c>
      <c r="K24" s="13" t="str">
        <f>IF(BENEFIT_DESIGN!G24=0,"None",BENEFIT_DESIGN!G24)</f>
        <v>None</v>
      </c>
      <c r="L24" s="13" t="str">
        <f>IF(BENEFIT_DESIGN!H24=0,"None",BENEFIT_DESIGN!H24)</f>
        <v>None</v>
      </c>
      <c r="M24" s="13" t="str">
        <f>IF(BENEFIT_DESIGN!I24=0,"None",BENEFIT_DESIGN!I24)</f>
        <v>Yes</v>
      </c>
    </row>
    <row r="25" spans="1:14" x14ac:dyDescent="0.25">
      <c r="A25" s="1" t="str">
        <f>BENEFIT_DESIGN!B25</f>
        <v>Medical Supplies</v>
      </c>
      <c r="B25" t="str">
        <f>BENEFIT_DESIGN!C25</f>
        <v>Plan Deductible Only</v>
      </c>
      <c r="C25" s="9">
        <f>IF(BENEFIT_DESIGN!M25,BENEFIT_DESIGN!$C$28,0)</f>
        <v>1000</v>
      </c>
      <c r="D25" s="9">
        <f>IF(BENEFIT_DESIGN!N25,BENEFIT_DESIGN!$C$29,0)</f>
        <v>0</v>
      </c>
      <c r="E25" s="9">
        <f>IF(BENEFIT_DESIGN!O25,BENEFIT_DESIGN!$C$29,0)</f>
        <v>0</v>
      </c>
      <c r="F25" s="9">
        <f>IF(BENEFIT_DESIGN!P25,BENEFIT_DESIGN!$C$29,0)</f>
        <v>0</v>
      </c>
      <c r="G25" s="9">
        <f>IF(BENEFIT_DESIGN!V25,BENEFIT_DESIGN!$C$32,0)</f>
        <v>5000</v>
      </c>
      <c r="H25" s="9">
        <f>IF(BENEFIT_DESIGN!Q25,BENEFIT_DESIGN!D25,0)</f>
        <v>0</v>
      </c>
      <c r="I25" s="9">
        <f>IF(BENEFIT_DESIGN!R25,BENEFIT_DESIGN!E25,0)</f>
        <v>0</v>
      </c>
      <c r="J25" s="4">
        <f>IF(BENEFIT_DESIGN!S25,BENEFIT_DESIGN!F25,0)</f>
        <v>0</v>
      </c>
      <c r="K25" s="13" t="str">
        <f>IF(BENEFIT_DESIGN!G25=0,"None",BENEFIT_DESIGN!G25)</f>
        <v>None</v>
      </c>
      <c r="L25" s="13" t="str">
        <f>IF(BENEFIT_DESIGN!H25=0,"None",BENEFIT_DESIGN!H25)</f>
        <v>None</v>
      </c>
      <c r="M25" s="13" t="str">
        <f>IF(BENEFIT_DESIGN!I25=0,"None",BENEFIT_DESIGN!I25)</f>
        <v>Yes</v>
      </c>
    </row>
    <row r="26" spans="1:14" x14ac:dyDescent="0.25">
      <c r="A26" s="1" t="str">
        <f>BENEFIT_DESIGN!B26</f>
        <v>Over-the-counter Medical Supplies</v>
      </c>
      <c r="B26" t="str">
        <f>BENEFIT_DESIGN!C26</f>
        <v>Not Covered</v>
      </c>
      <c r="C26" s="9">
        <f>IF(BENEFIT_DESIGN!M26,BENEFIT_DESIGN!$C$28,0)</f>
        <v>0</v>
      </c>
      <c r="D26" s="9">
        <f>IF(BENEFIT_DESIGN!N26,BENEFIT_DESIGN!$C$29,0)</f>
        <v>0</v>
      </c>
      <c r="E26" s="9">
        <f>IF(BENEFIT_DESIGN!O26,BENEFIT_DESIGN!$C$29,0)</f>
        <v>0</v>
      </c>
      <c r="F26" s="9">
        <f>IF(BENEFIT_DESIGN!P26,BENEFIT_DESIGN!$C$29,0)</f>
        <v>0</v>
      </c>
      <c r="G26" s="9">
        <f>IF(BENEFIT_DESIGN!V26,BENEFIT_DESIGN!$C$32,0)</f>
        <v>0</v>
      </c>
      <c r="H26" s="9">
        <f>IF(BENEFIT_DESIGN!Q26,BENEFIT_DESIGN!D26,0)</f>
        <v>0</v>
      </c>
      <c r="I26" s="9">
        <f>IF(BENEFIT_DESIGN!R26,BENEFIT_DESIGN!E26,0)</f>
        <v>0</v>
      </c>
      <c r="J26" s="4">
        <f>IF(BENEFIT_DESIGN!S26,BENEFIT_DESIGN!F26,0)</f>
        <v>0</v>
      </c>
      <c r="K26" s="13" t="str">
        <f>IF(BENEFIT_DESIGN!G26=0,"None",BENEFIT_DESIGN!G26)</f>
        <v>None</v>
      </c>
      <c r="L26" s="13" t="str">
        <f>IF(BENEFIT_DESIGN!H26=0,"None",BENEFIT_DESIGN!H26)</f>
        <v>None</v>
      </c>
      <c r="M26" s="13" t="str">
        <f>IF(BENEFIT_DESIGN!I26=0,"None",BENEFIT_DESIGN!I26)</f>
        <v>None</v>
      </c>
    </row>
    <row r="27" spans="1:14" x14ac:dyDescent="0.25">
      <c r="A27" s="1" t="str">
        <f>BENEFIT_DESIGN!B27</f>
        <v>Other Items &amp; Services</v>
      </c>
      <c r="B27" t="str">
        <f>BENEFIT_DESIGN!C27</f>
        <v>Not Covered</v>
      </c>
      <c r="C27" s="9">
        <f>IF(BENEFIT_DESIGN!M27,BENEFIT_DESIGN!$C$28,0)</f>
        <v>0</v>
      </c>
      <c r="D27" s="9">
        <f>IF(BENEFIT_DESIGN!N27,BENEFIT_DESIGN!$C$29,0)</f>
        <v>0</v>
      </c>
      <c r="E27" s="9">
        <f>IF(BENEFIT_DESIGN!O27,BENEFIT_DESIGN!$C$29,0)</f>
        <v>0</v>
      </c>
      <c r="F27" s="9">
        <f>IF(BENEFIT_DESIGN!P27,BENEFIT_DESIGN!$C$29,0)</f>
        <v>0</v>
      </c>
      <c r="G27" s="9">
        <f>IF(BENEFIT_DESIGN!V27,BENEFIT_DESIGN!$C$32,0)</f>
        <v>0</v>
      </c>
      <c r="H27" s="9">
        <f>IF(BENEFIT_DESIGN!Q27,BENEFIT_DESIGN!D27,0)</f>
        <v>0</v>
      </c>
      <c r="I27" s="9">
        <f>IF(BENEFIT_DESIGN!R27,BENEFIT_DESIGN!E27,0)</f>
        <v>0</v>
      </c>
      <c r="J27" s="4">
        <f>IF(BENEFIT_DESIGN!S27,BENEFIT_DESIGN!F27,0)</f>
        <v>0</v>
      </c>
      <c r="K27" s="13" t="str">
        <f>IF(BENEFIT_DESIGN!G27=0,"None",BENEFIT_DESIGN!G27)</f>
        <v>None</v>
      </c>
      <c r="L27" s="13" t="str">
        <f>IF(BENEFIT_DESIGN!H27=0,"None",BENEFIT_DESIGN!H27)</f>
        <v>None</v>
      </c>
      <c r="M27" s="13" t="str">
        <f>IF(BENEFIT_DESIGN!I27=0,"None",BENEFIT_DESIGN!I27)</f>
        <v>None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N35"/>
  <sheetViews>
    <sheetView topLeftCell="A13" workbookViewId="0"/>
  </sheetViews>
  <sheetFormatPr defaultColWidth="0" defaultRowHeight="15" zeroHeight="1" x14ac:dyDescent="0.25"/>
  <cols>
    <col min="1" max="1" width="2.7109375" customWidth="1"/>
    <col min="2" max="2" width="4.7109375" customWidth="1"/>
    <col min="3" max="3" width="20.7109375" customWidth="1"/>
    <col min="4" max="4" width="9.140625" customWidth="1"/>
    <col min="5" max="5" width="4.7109375" customWidth="1"/>
    <col min="6" max="6" width="2.7109375" customWidth="1"/>
    <col min="7" max="7" width="4.7109375" customWidth="1"/>
    <col min="8" max="8" width="20.7109375" customWidth="1"/>
    <col min="9" max="9" width="9.140625" customWidth="1"/>
    <col min="10" max="10" width="4.7109375" customWidth="1"/>
    <col min="11" max="11" width="2.7109375" customWidth="1"/>
    <col min="12" max="12" width="20.7109375" hidden="1" customWidth="1"/>
    <col min="13" max="13" width="9.140625" hidden="1" customWidth="1"/>
    <col min="14" max="14" width="4.7109375" hidden="1" customWidth="1"/>
    <col min="15" max="16384" width="9.140625" hidden="1"/>
  </cols>
  <sheetData>
    <row r="1" spans="1:11" s="2" customFormat="1" x14ac:dyDescent="0.25">
      <c r="A1" s="124"/>
      <c r="B1" s="124"/>
      <c r="C1" s="124"/>
      <c r="D1" s="124"/>
      <c r="E1" s="124"/>
      <c r="F1" s="123"/>
      <c r="G1" s="124"/>
      <c r="H1" s="124"/>
      <c r="I1" s="125"/>
      <c r="J1" s="125"/>
      <c r="K1" s="124"/>
    </row>
    <row r="2" spans="1:11" x14ac:dyDescent="0.25">
      <c r="A2" s="111"/>
      <c r="B2" s="111"/>
      <c r="C2" s="111"/>
      <c r="D2" s="111"/>
      <c r="E2" s="111"/>
      <c r="F2" s="123" t="s">
        <v>206</v>
      </c>
      <c r="G2" s="111"/>
      <c r="H2" s="111"/>
      <c r="I2" s="112"/>
      <c r="J2" s="115"/>
      <c r="K2" s="111"/>
    </row>
    <row r="3" spans="1:11" x14ac:dyDescent="0.25">
      <c r="A3" s="111"/>
      <c r="B3" s="111"/>
      <c r="C3" s="111"/>
      <c r="D3" s="111"/>
      <c r="E3" s="111"/>
      <c r="F3" s="123"/>
      <c r="G3" s="111"/>
      <c r="H3" s="111"/>
      <c r="I3" s="114"/>
      <c r="J3" s="114"/>
      <c r="K3" s="111"/>
    </row>
    <row r="4" spans="1:11" x14ac:dyDescent="0.25">
      <c r="A4" s="111"/>
      <c r="B4" s="111"/>
      <c r="C4" s="111"/>
      <c r="D4" s="111"/>
      <c r="E4" s="111"/>
      <c r="F4" s="123" t="str">
        <f>BENEFIT_DESIGN!$E$2</f>
        <v>3 of 3</v>
      </c>
      <c r="G4" s="111"/>
      <c r="H4" s="111"/>
      <c r="I4" s="114"/>
      <c r="J4" s="114"/>
      <c r="K4" s="111"/>
    </row>
    <row r="5" spans="1:11" x14ac:dyDescent="0.25">
      <c r="A5" s="111"/>
      <c r="B5" s="111"/>
      <c r="C5" s="111"/>
      <c r="D5" s="111"/>
      <c r="E5" s="111"/>
      <c r="F5" s="111"/>
      <c r="G5" s="111"/>
      <c r="H5" s="111"/>
      <c r="I5" s="114"/>
      <c r="J5" s="114"/>
      <c r="K5" s="111"/>
    </row>
    <row r="6" spans="1:11" x14ac:dyDescent="0.25">
      <c r="A6" s="111"/>
      <c r="B6" s="129"/>
      <c r="C6" s="130"/>
      <c r="D6" s="130"/>
      <c r="E6" s="130"/>
      <c r="F6" s="131" t="str">
        <f>"Summary for "&amp;BENEFIT_DESIGN!$B$6</f>
        <v>Summary for Plan 3</v>
      </c>
      <c r="G6" s="130"/>
      <c r="H6" s="130"/>
      <c r="I6" s="132"/>
      <c r="J6" s="133"/>
      <c r="K6" s="111"/>
    </row>
    <row r="7" spans="1:11" x14ac:dyDescent="0.25">
      <c r="A7" s="111"/>
      <c r="B7" s="111"/>
      <c r="C7" s="111"/>
      <c r="D7" s="111"/>
      <c r="E7" s="111"/>
      <c r="F7" s="111"/>
      <c r="G7" s="111"/>
      <c r="H7" s="111"/>
      <c r="I7" s="114"/>
      <c r="J7" s="114"/>
      <c r="K7" s="111"/>
    </row>
    <row r="8" spans="1:11" x14ac:dyDescent="0.25">
      <c r="A8" s="111"/>
      <c r="B8" s="71" t="s">
        <v>232</v>
      </c>
      <c r="C8" s="72"/>
      <c r="D8" s="72"/>
      <c r="E8" s="73"/>
      <c r="F8" s="111"/>
      <c r="G8" s="71" t="s">
        <v>233</v>
      </c>
      <c r="H8" s="72"/>
      <c r="I8" s="72"/>
      <c r="J8" s="73"/>
      <c r="K8" s="111"/>
    </row>
    <row r="9" spans="1:11" x14ac:dyDescent="0.25">
      <c r="A9" s="111"/>
      <c r="B9" s="61"/>
      <c r="C9" s="62"/>
      <c r="D9" s="62"/>
      <c r="E9" s="63"/>
      <c r="F9" s="111"/>
      <c r="G9" s="61"/>
      <c r="H9" s="62"/>
      <c r="I9" s="62"/>
      <c r="J9" s="63"/>
      <c r="K9" s="111"/>
    </row>
    <row r="10" spans="1:11" x14ac:dyDescent="0.25">
      <c r="A10" s="111"/>
      <c r="B10" s="64"/>
      <c r="C10" s="74" t="s">
        <v>92</v>
      </c>
      <c r="D10" s="18">
        <f>MATERNITY_SUMMARY!E26</f>
        <v>11574.96</v>
      </c>
      <c r="E10" s="65"/>
      <c r="F10" s="111"/>
      <c r="G10" s="64"/>
      <c r="H10" s="74" t="s">
        <v>92</v>
      </c>
      <c r="I10" s="18">
        <f>DIABETES_SUMMARY!$E$26</f>
        <v>5304.5400000000009</v>
      </c>
      <c r="J10" s="65"/>
      <c r="K10" s="111"/>
    </row>
    <row r="11" spans="1:11" x14ac:dyDescent="0.25">
      <c r="A11" s="111"/>
      <c r="B11" s="66"/>
      <c r="C11" s="19"/>
      <c r="D11" s="67"/>
      <c r="E11" s="68"/>
      <c r="F11" s="111"/>
      <c r="G11" s="66"/>
      <c r="H11" s="19"/>
      <c r="I11" s="67"/>
      <c r="J11" s="68"/>
      <c r="K11" s="111"/>
    </row>
    <row r="12" spans="1:11" x14ac:dyDescent="0.25">
      <c r="A12" s="111"/>
      <c r="B12" s="61"/>
      <c r="C12" s="20"/>
      <c r="D12" s="62"/>
      <c r="E12" s="63"/>
      <c r="F12" s="111"/>
      <c r="G12" s="61"/>
      <c r="H12" s="20"/>
      <c r="I12" s="62"/>
      <c r="J12" s="63"/>
      <c r="K12" s="111"/>
    </row>
    <row r="13" spans="1:11" x14ac:dyDescent="0.25">
      <c r="A13" s="111"/>
      <c r="B13" s="64"/>
      <c r="C13" s="75" t="s">
        <v>93</v>
      </c>
      <c r="D13" s="22">
        <f>MATERNITY_SUMMARY!F26</f>
        <v>1163.3921345238095</v>
      </c>
      <c r="E13" s="65"/>
      <c r="F13" s="111"/>
      <c r="G13" s="64"/>
      <c r="H13" s="75" t="s">
        <v>93</v>
      </c>
      <c r="I13" s="22">
        <f>DIABETES_SUMMARY!F26</f>
        <v>2095.2599999999998</v>
      </c>
      <c r="J13" s="65"/>
      <c r="K13" s="111"/>
    </row>
    <row r="14" spans="1:11" x14ac:dyDescent="0.25">
      <c r="A14" s="111"/>
      <c r="B14" s="64"/>
      <c r="C14" s="69" t="s">
        <v>94</v>
      </c>
      <c r="D14" s="21">
        <f>MATERNITY_SUMMARY!G26</f>
        <v>1003.375</v>
      </c>
      <c r="E14" s="65"/>
      <c r="F14" s="111"/>
      <c r="G14" s="64"/>
      <c r="H14" s="69" t="s">
        <v>94</v>
      </c>
      <c r="I14" s="21">
        <f>DIABETES_SUMMARY!$G$26</f>
        <v>1100</v>
      </c>
      <c r="J14" s="65"/>
      <c r="K14" s="111"/>
    </row>
    <row r="15" spans="1:11" x14ac:dyDescent="0.25">
      <c r="A15" s="111"/>
      <c r="B15" s="64"/>
      <c r="C15" s="69" t="s">
        <v>95</v>
      </c>
      <c r="D15" s="21">
        <f>MATERNITY_SUMMARY!H26</f>
        <v>100</v>
      </c>
      <c r="E15" s="65"/>
      <c r="F15" s="111"/>
      <c r="G15" s="64"/>
      <c r="H15" s="69" t="s">
        <v>95</v>
      </c>
      <c r="I15" s="21">
        <f>DIABETES_SUMMARY!$H$26</f>
        <v>940</v>
      </c>
      <c r="J15" s="65"/>
      <c r="K15" s="111"/>
    </row>
    <row r="16" spans="1:11" x14ac:dyDescent="0.25">
      <c r="A16" s="111"/>
      <c r="B16" s="64"/>
      <c r="C16" s="69" t="s">
        <v>1</v>
      </c>
      <c r="D16" s="21">
        <f>MATERNITY_SUMMARY!I26</f>
        <v>0</v>
      </c>
      <c r="E16" s="65"/>
      <c r="F16" s="111"/>
      <c r="G16" s="64"/>
      <c r="H16" s="69" t="s">
        <v>1</v>
      </c>
      <c r="I16" s="21">
        <f>DIABETES_SUMMARY!$I$26</f>
        <v>0</v>
      </c>
      <c r="J16" s="65"/>
      <c r="K16" s="111"/>
    </row>
    <row r="17" spans="1:11" x14ac:dyDescent="0.25">
      <c r="A17" s="111"/>
      <c r="B17" s="64"/>
      <c r="C17" s="69" t="s">
        <v>96</v>
      </c>
      <c r="D17" s="21">
        <f>MATERNITY_SUMMARY!J26</f>
        <v>60.017134523809524</v>
      </c>
      <c r="E17" s="65"/>
      <c r="F17" s="111"/>
      <c r="G17" s="64"/>
      <c r="H17" s="69" t="s">
        <v>96</v>
      </c>
      <c r="I17" s="21">
        <f>DIABETES_SUMMARY!$J$26</f>
        <v>55.260000000000019</v>
      </c>
      <c r="J17" s="65"/>
      <c r="K17" s="111"/>
    </row>
    <row r="18" spans="1:11" x14ac:dyDescent="0.25">
      <c r="A18" s="111"/>
      <c r="B18" s="66"/>
      <c r="C18" s="67"/>
      <c r="D18" s="70"/>
      <c r="E18" s="68"/>
      <c r="F18" s="111"/>
      <c r="G18" s="66"/>
      <c r="H18" s="67"/>
      <c r="I18" s="70"/>
      <c r="J18" s="68"/>
      <c r="K18" s="111"/>
    </row>
    <row r="19" spans="1:11" x14ac:dyDescent="0.25">
      <c r="A19" s="111"/>
      <c r="B19" s="76"/>
      <c r="C19" s="77"/>
      <c r="D19" s="77"/>
      <c r="E19" s="78"/>
      <c r="F19" s="111"/>
      <c r="G19" s="76"/>
      <c r="H19" s="77"/>
      <c r="I19" s="77"/>
      <c r="J19" s="78"/>
      <c r="K19" s="111"/>
    </row>
    <row r="20" spans="1:11" x14ac:dyDescent="0.25">
      <c r="A20" s="111"/>
      <c r="B20" s="79"/>
      <c r="C20" s="80"/>
      <c r="D20" s="80"/>
      <c r="E20" s="81"/>
      <c r="F20" s="111"/>
      <c r="G20" s="79"/>
      <c r="H20" s="80"/>
      <c r="I20" s="80"/>
      <c r="J20" s="81"/>
      <c r="K20" s="111"/>
    </row>
    <row r="21" spans="1:11" x14ac:dyDescent="0.2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x14ac:dyDescent="0.25">
      <c r="A22" s="111"/>
      <c r="B22" s="71" t="s">
        <v>234</v>
      </c>
      <c r="C22" s="72"/>
      <c r="D22" s="72"/>
      <c r="E22" s="73"/>
      <c r="F22" s="111"/>
      <c r="G22" s="111"/>
      <c r="H22" s="111"/>
      <c r="I22" s="111"/>
      <c r="J22" s="111"/>
      <c r="K22" s="111"/>
    </row>
    <row r="23" spans="1:11" x14ac:dyDescent="0.25">
      <c r="A23" s="111"/>
      <c r="B23" s="61"/>
      <c r="C23" s="62"/>
      <c r="D23" s="62"/>
      <c r="E23" s="63"/>
      <c r="F23" s="111"/>
      <c r="G23" s="111"/>
      <c r="H23" s="111"/>
      <c r="I23" s="111"/>
      <c r="J23" s="111"/>
      <c r="K23" s="111"/>
    </row>
    <row r="24" spans="1:11" x14ac:dyDescent="0.25">
      <c r="A24" s="111"/>
      <c r="B24" s="64"/>
      <c r="C24" s="74" t="s">
        <v>92</v>
      </c>
      <c r="D24" s="18">
        <f>FRACTURE_SUMMARY!$E$26</f>
        <v>1049.96</v>
      </c>
      <c r="E24" s="65"/>
      <c r="F24" s="111"/>
      <c r="G24" s="111"/>
      <c r="H24" s="111"/>
      <c r="I24" s="111"/>
      <c r="J24" s="111"/>
      <c r="K24" s="111"/>
    </row>
    <row r="25" spans="1:11" x14ac:dyDescent="0.25">
      <c r="A25" s="111"/>
      <c r="B25" s="66"/>
      <c r="C25" s="19"/>
      <c r="D25" s="67"/>
      <c r="E25" s="68"/>
      <c r="F25" s="111"/>
      <c r="G25" s="111"/>
      <c r="H25" s="111"/>
      <c r="I25" s="111"/>
      <c r="J25" s="111"/>
      <c r="K25" s="111"/>
    </row>
    <row r="26" spans="1:11" x14ac:dyDescent="0.25">
      <c r="A26" s="111"/>
      <c r="B26" s="61"/>
      <c r="C26" s="20"/>
      <c r="D26" s="62"/>
      <c r="E26" s="63"/>
      <c r="F26" s="111"/>
      <c r="G26" s="111"/>
      <c r="H26" s="111"/>
      <c r="I26" s="111"/>
      <c r="J26" s="111"/>
      <c r="K26" s="111"/>
    </row>
    <row r="27" spans="1:11" x14ac:dyDescent="0.25">
      <c r="A27" s="111"/>
      <c r="B27" s="64"/>
      <c r="C27" s="75" t="s">
        <v>93</v>
      </c>
      <c r="D27" s="22">
        <f>FRACTURE_SUMMARY!F26</f>
        <v>875.08</v>
      </c>
      <c r="E27" s="65"/>
      <c r="F27" s="111"/>
      <c r="G27" s="111"/>
      <c r="H27" s="111"/>
      <c r="I27" s="111"/>
      <c r="J27" s="111"/>
      <c r="K27" s="111"/>
    </row>
    <row r="28" spans="1:11" x14ac:dyDescent="0.25">
      <c r="A28" s="111"/>
      <c r="B28" s="64"/>
      <c r="C28" s="69" t="s">
        <v>94</v>
      </c>
      <c r="D28" s="21">
        <f>FRACTURE_SUMMARY!$G$26</f>
        <v>875.08</v>
      </c>
      <c r="E28" s="65"/>
      <c r="F28" s="111"/>
      <c r="G28" s="111"/>
      <c r="H28" s="111"/>
      <c r="I28" s="111"/>
      <c r="J28" s="111"/>
      <c r="K28" s="111"/>
    </row>
    <row r="29" spans="1:11" x14ac:dyDescent="0.25">
      <c r="A29" s="111"/>
      <c r="B29" s="64"/>
      <c r="C29" s="69" t="s">
        <v>95</v>
      </c>
      <c r="D29" s="21">
        <f>FRACTURE_SUMMARY!$H$26</f>
        <v>0</v>
      </c>
      <c r="E29" s="65"/>
      <c r="F29" s="111"/>
      <c r="G29" s="111"/>
      <c r="H29" s="111"/>
      <c r="I29" s="111"/>
      <c r="J29" s="111"/>
      <c r="K29" s="111"/>
    </row>
    <row r="30" spans="1:11" x14ac:dyDescent="0.25">
      <c r="A30" s="111"/>
      <c r="B30" s="64"/>
      <c r="C30" s="69" t="s">
        <v>1</v>
      </c>
      <c r="D30" s="21">
        <f>FRACTURE_SUMMARY!$I$26</f>
        <v>0</v>
      </c>
      <c r="E30" s="65"/>
      <c r="F30" s="111"/>
      <c r="G30" s="111"/>
      <c r="H30" s="111"/>
      <c r="I30" s="111"/>
      <c r="J30" s="111"/>
      <c r="K30" s="111"/>
    </row>
    <row r="31" spans="1:11" x14ac:dyDescent="0.25">
      <c r="A31" s="111"/>
      <c r="B31" s="64"/>
      <c r="C31" s="69" t="s">
        <v>96</v>
      </c>
      <c r="D31" s="21">
        <f>FRACTURE_SUMMARY!$J$26</f>
        <v>0</v>
      </c>
      <c r="E31" s="65"/>
      <c r="F31" s="111"/>
      <c r="G31" s="111"/>
      <c r="H31" s="111"/>
      <c r="I31" s="111"/>
      <c r="J31" s="111"/>
      <c r="K31" s="111"/>
    </row>
    <row r="32" spans="1:11" x14ac:dyDescent="0.25">
      <c r="A32" s="111"/>
      <c r="B32" s="66"/>
      <c r="C32" s="67"/>
      <c r="D32" s="70"/>
      <c r="E32" s="68"/>
      <c r="F32" s="111"/>
      <c r="G32" s="111"/>
      <c r="H32" s="111"/>
      <c r="I32" s="111"/>
      <c r="J32" s="111"/>
      <c r="K32" s="111"/>
    </row>
    <row r="33" spans="1:11" x14ac:dyDescent="0.25">
      <c r="A33" s="111"/>
      <c r="B33" s="76"/>
      <c r="C33" s="77"/>
      <c r="D33" s="77"/>
      <c r="E33" s="78"/>
      <c r="F33" s="111"/>
      <c r="G33" s="111"/>
      <c r="H33" s="111"/>
      <c r="I33" s="111"/>
      <c r="J33" s="111"/>
      <c r="K33" s="111"/>
    </row>
    <row r="34" spans="1:11" x14ac:dyDescent="0.25">
      <c r="A34" s="111"/>
      <c r="B34" s="79"/>
      <c r="C34" s="80"/>
      <c r="D34" s="80"/>
      <c r="E34" s="81"/>
      <c r="F34" s="111"/>
      <c r="G34" s="111"/>
      <c r="H34" s="111"/>
      <c r="I34" s="111"/>
      <c r="J34" s="111"/>
      <c r="K34" s="111"/>
    </row>
    <row r="35" spans="1:1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Sheet9.btnMatDetail_Click">
                <anchor moveWithCells="1" sizeWithCells="1">
                  <from>
                    <xdr:col>1</xdr:col>
                    <xdr:colOff>95250</xdr:colOff>
                    <xdr:row>18</xdr:row>
                    <xdr:rowOff>66675</xdr:rowOff>
                  </from>
                  <to>
                    <xdr:col>2</xdr:col>
                    <xdr:colOff>581025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Sheet9.btnMatTimeline_Click">
                <anchor moveWithCells="1" sizeWithCells="1">
                  <from>
                    <xdr:col>2</xdr:col>
                    <xdr:colOff>590550</xdr:colOff>
                    <xdr:row>18</xdr:row>
                    <xdr:rowOff>66675</xdr:rowOff>
                  </from>
                  <to>
                    <xdr:col>3</xdr:col>
                    <xdr:colOff>9525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0]!Sheet9.btnDiaDetail_Click">
                <anchor moveWithCells="1" sizeWithCells="1">
                  <from>
                    <xdr:col>6</xdr:col>
                    <xdr:colOff>95250</xdr:colOff>
                    <xdr:row>18</xdr:row>
                    <xdr:rowOff>66675</xdr:rowOff>
                  </from>
                  <to>
                    <xdr:col>7</xdr:col>
                    <xdr:colOff>581025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Button 4">
              <controlPr defaultSize="0" print="0" autoFill="0" autoPict="0" macro="[0]!Sheet9.btnDiaTimeline_Click">
                <anchor moveWithCells="1" sizeWithCells="1">
                  <from>
                    <xdr:col>7</xdr:col>
                    <xdr:colOff>590550</xdr:colOff>
                    <xdr:row>18</xdr:row>
                    <xdr:rowOff>66675</xdr:rowOff>
                  </from>
                  <to>
                    <xdr:col>8</xdr:col>
                    <xdr:colOff>9525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Button 5">
              <controlPr defaultSize="0" print="0" autoFill="0" autoPict="0" macro="[0]!Sheet9.btnFraDetail_Click">
                <anchor moveWithCells="1" sizeWithCells="1">
                  <from>
                    <xdr:col>1</xdr:col>
                    <xdr:colOff>95250</xdr:colOff>
                    <xdr:row>32</xdr:row>
                    <xdr:rowOff>66675</xdr:rowOff>
                  </from>
                  <to>
                    <xdr:col>2</xdr:col>
                    <xdr:colOff>581025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Button 6">
              <controlPr defaultSize="0" print="0" autoFill="0" autoPict="0" macro="[0]!Sheet9.btnFraTimeline_Click">
                <anchor moveWithCells="1" sizeWithCells="1">
                  <from>
                    <xdr:col>2</xdr:col>
                    <xdr:colOff>590550</xdr:colOff>
                    <xdr:row>32</xdr:row>
                    <xdr:rowOff>66675</xdr:rowOff>
                  </from>
                  <to>
                    <xdr:col>3</xdr:col>
                    <xdr:colOff>9525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Button 3">
              <controlPr defaultSize="0" print="0" autoFill="0" autoPict="0" macro="[0]!ThisWorkbook.LoadPrevPlan">
                <anchor moveWithCells="1" sizeWithCells="1">
                  <from>
                    <xdr:col>2</xdr:col>
                    <xdr:colOff>1295400</xdr:colOff>
                    <xdr:row>2</xdr:row>
                    <xdr:rowOff>142875</xdr:rowOff>
                  </from>
                  <to>
                    <xdr:col>3</xdr:col>
                    <xdr:colOff>523875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Button 4">
              <controlPr defaultSize="0" print="0" autoFill="0" autoPict="0" macro="[0]!ThisWorkbook.LoadNextPlan">
                <anchor moveWithCells="1" sizeWithCells="1">
                  <from>
                    <xdr:col>7</xdr:col>
                    <xdr:colOff>85725</xdr:colOff>
                    <xdr:row>2</xdr:row>
                    <xdr:rowOff>142875</xdr:rowOff>
                  </from>
                  <to>
                    <xdr:col>7</xdr:col>
                    <xdr:colOff>695325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Button 13">
              <controlPr defaultSize="0" print="0" autoFill="0" autoPict="0" macro="[0]!ThisWorkbook.ShowPlanInputData">
                <anchor moveWithCells="1" sizeWithCells="1">
                  <from>
                    <xdr:col>1</xdr:col>
                    <xdr:colOff>0</xdr:colOff>
                    <xdr:row>0</xdr:row>
                    <xdr:rowOff>171450</xdr:rowOff>
                  </from>
                  <to>
                    <xdr:col>2</xdr:col>
                    <xdr:colOff>838200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Button 14">
              <controlPr defaultSize="0" print="0" autoFill="0" autoPict="0" macro="[0]!ThisWorkbook.ShowPlanOutputData">
                <anchor moveWithCells="1" sizeWithCells="1">
                  <from>
                    <xdr:col>7</xdr:col>
                    <xdr:colOff>1152525</xdr:colOff>
                    <xdr:row>0</xdr:row>
                    <xdr:rowOff>171450</xdr:rowOff>
                  </from>
                  <to>
                    <xdr:col>10</xdr:col>
                    <xdr:colOff>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Button 15">
              <controlPr defaultSize="0" print="0" autoFill="0" autoPict="0" macro="[0]!ThisWorkbook.ShowManualInput">
                <anchor moveWithCells="1" sizeWithCells="1">
                  <from>
                    <xdr:col>1</xdr:col>
                    <xdr:colOff>9525</xdr:colOff>
                    <xdr:row>2</xdr:row>
                    <xdr:rowOff>152400</xdr:rowOff>
                  </from>
                  <to>
                    <xdr:col>2</xdr:col>
                    <xdr:colOff>847725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Button 16">
              <controlPr defaultSize="0" print="0" autoFill="0" autoPict="0" macro="[0]!MultiPlanModeExport">
                <anchor moveWithCells="1" sizeWithCells="1">
                  <from>
                    <xdr:col>7</xdr:col>
                    <xdr:colOff>1152525</xdr:colOff>
                    <xdr:row>2</xdr:row>
                    <xdr:rowOff>142875</xdr:rowOff>
                  </from>
                  <to>
                    <xdr:col>9</xdr:col>
                    <xdr:colOff>304800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Button 17">
              <controlPr defaultSize="0" print="0" autoFill="0" autoPict="0" macro="[0]!Sheet9.btnMatLineItem_Click">
                <anchor moveWithCells="1" sizeWithCells="1">
                  <from>
                    <xdr:col>3</xdr:col>
                    <xdr:colOff>28575</xdr:colOff>
                    <xdr:row>18</xdr:row>
                    <xdr:rowOff>66675</xdr:rowOff>
                  </from>
                  <to>
                    <xdr:col>4</xdr:col>
                    <xdr:colOff>219075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Button 18">
              <controlPr defaultSize="0" print="0" autoFill="0" autoPict="0" macro="[0]!Sheet9.btnDiaLineItem_Click">
                <anchor moveWithCells="1" sizeWithCells="1">
                  <from>
                    <xdr:col>8</xdr:col>
                    <xdr:colOff>28575</xdr:colOff>
                    <xdr:row>18</xdr:row>
                    <xdr:rowOff>66675</xdr:rowOff>
                  </from>
                  <to>
                    <xdr:col>9</xdr:col>
                    <xdr:colOff>219075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Button 19">
              <controlPr defaultSize="0" print="0" autoFill="0" autoPict="0" macro="[0]!Sheet9.btnFraLineItem_Click">
                <anchor moveWithCells="1" sizeWithCells="1">
                  <from>
                    <xdr:col>3</xdr:col>
                    <xdr:colOff>28575</xdr:colOff>
                    <xdr:row>32</xdr:row>
                    <xdr:rowOff>66675</xdr:rowOff>
                  </from>
                  <to>
                    <xdr:col>4</xdr:col>
                    <xdr:colOff>219075</xdr:colOff>
                    <xdr:row>33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28"/>
  <sheetViews>
    <sheetView workbookViewId="0"/>
  </sheetViews>
  <sheetFormatPr defaultColWidth="0" defaultRowHeight="15" customHeight="1" zeroHeight="1" x14ac:dyDescent="0.25"/>
  <cols>
    <col min="1" max="1" width="2.7109375" customWidth="1"/>
    <col min="2" max="2" width="43.7109375" bestFit="1" customWidth="1"/>
    <col min="3" max="5" width="12.7109375" customWidth="1"/>
    <col min="6" max="6" width="2.7109375" customWidth="1"/>
    <col min="7" max="12" width="0" hidden="1" customWidth="1"/>
    <col min="13" max="16384" width="9.140625" hidden="1"/>
  </cols>
  <sheetData>
    <row r="1" spans="1:6" x14ac:dyDescent="0.25">
      <c r="A1" s="111"/>
      <c r="B1" s="111"/>
      <c r="C1" s="111"/>
      <c r="D1" s="111"/>
      <c r="E1" s="111"/>
      <c r="F1" s="111"/>
    </row>
    <row r="2" spans="1:6" x14ac:dyDescent="0.25">
      <c r="A2" s="111"/>
      <c r="B2" s="124" t="s">
        <v>246</v>
      </c>
      <c r="C2" s="111"/>
      <c r="D2" s="111"/>
      <c r="E2" s="111"/>
      <c r="F2" s="111"/>
    </row>
    <row r="3" spans="1:6" x14ac:dyDescent="0.25">
      <c r="A3" s="111"/>
      <c r="B3" s="111"/>
      <c r="C3" s="111"/>
      <c r="D3" s="111"/>
      <c r="E3" s="111"/>
      <c r="F3" s="111"/>
    </row>
    <row r="4" spans="1:6" x14ac:dyDescent="0.25">
      <c r="A4" s="111"/>
      <c r="B4" s="87" t="str">
        <f>BENEFIT_DESIGN!$B$6</f>
        <v>Plan 3</v>
      </c>
      <c r="C4" s="141" t="s">
        <v>90</v>
      </c>
      <c r="D4" s="141"/>
      <c r="E4" s="142"/>
      <c r="F4" s="111"/>
    </row>
    <row r="5" spans="1:6" x14ac:dyDescent="0.25">
      <c r="A5" s="111"/>
      <c r="B5" s="91" t="s">
        <v>9</v>
      </c>
      <c r="C5" s="92" t="s">
        <v>243</v>
      </c>
      <c r="D5" s="92" t="s">
        <v>244</v>
      </c>
      <c r="E5" s="93" t="s">
        <v>245</v>
      </c>
      <c r="F5" s="111"/>
    </row>
    <row r="6" spans="1:6" x14ac:dyDescent="0.25">
      <c r="A6" s="111"/>
      <c r="B6" s="88" t="str">
        <f>BENEFIT_DESIGN!B8</f>
        <v>Inpatient Hospital Care (Facility)</v>
      </c>
      <c r="C6" s="84">
        <f>SUMIFS(DIABETES_TIMELINE!AllowedAmt,DIABETES_TIMELINE!BenefitCategory,$B6)</f>
        <v>0</v>
      </c>
      <c r="D6" s="84">
        <f>SUMIFS(MATERNITY_TIMELINE!AllowedAmt,MATERNITY_TIMELINE!BenefitCategory,$B6)</f>
        <v>8959.380000000001</v>
      </c>
      <c r="E6" s="84">
        <f>SUMIFS(FRACTURE_TIMELINE!AllowedAmt,FRACTURE_TIMELINE!BenefitCategory,$B6)</f>
        <v>0</v>
      </c>
      <c r="F6" s="111"/>
    </row>
    <row r="7" spans="1:6" x14ac:dyDescent="0.25">
      <c r="A7" s="111"/>
      <c r="B7" s="88" t="str">
        <f>BENEFIT_DESIGN!B9</f>
        <v>Other Facility Services</v>
      </c>
      <c r="C7" s="84">
        <f>SUMIFS(DIABETES_TIMELINE!AllowedAmt,DIABETES_TIMELINE!BenefitCategory,$B7)</f>
        <v>0</v>
      </c>
      <c r="D7" s="84">
        <f>SUMIFS(MATERNITY_TIMELINE!AllowedAmt,MATERNITY_TIMELINE!BenefitCategory,$B7)</f>
        <v>0</v>
      </c>
      <c r="E7" s="84">
        <f>SUMIFS(FRACTURE_TIMELINE!AllowedAmt,FRACTURE_TIMELINE!BenefitCategory,$B7)</f>
        <v>37.14</v>
      </c>
      <c r="F7" s="111"/>
    </row>
    <row r="8" spans="1:6" x14ac:dyDescent="0.25">
      <c r="A8" s="111"/>
      <c r="B8" s="88" t="str">
        <f>BENEFIT_DESIGN!B10</f>
        <v>Emergency Department (Facility)</v>
      </c>
      <c r="C8" s="84">
        <f>SUMIFS(DIABETES_TIMELINE!AllowedAmt,DIABETES_TIMELINE!BenefitCategory,$B8)</f>
        <v>0</v>
      </c>
      <c r="D8" s="84">
        <f>SUMIFS(MATERNITY_TIMELINE!AllowedAmt,MATERNITY_TIMELINE!BenefitCategory,$B8)</f>
        <v>0</v>
      </c>
      <c r="E8" s="84">
        <f>SUMIFS(FRACTURE_TIMELINE!AllowedAmt,FRACTURE_TIMELINE!BenefitCategory,$B8)</f>
        <v>0</v>
      </c>
      <c r="F8" s="111"/>
    </row>
    <row r="9" spans="1:6" x14ac:dyDescent="0.25">
      <c r="A9" s="111"/>
      <c r="B9" s="88" t="str">
        <f>BENEFIT_DESIGN!B11</f>
        <v>Ambulance</v>
      </c>
      <c r="C9" s="84">
        <f>SUMIFS(DIABETES_TIMELINE!AllowedAmt,DIABETES_TIMELINE!BenefitCategory,$B9)</f>
        <v>0</v>
      </c>
      <c r="D9" s="84">
        <f>SUMIFS(MATERNITY_TIMELINE!AllowedAmt,MATERNITY_TIMELINE!BenefitCategory,$B9)</f>
        <v>0</v>
      </c>
      <c r="E9" s="84">
        <f>SUMIFS(FRACTURE_TIMELINE!AllowedAmt,FRACTURE_TIMELINE!BenefitCategory,$B9)</f>
        <v>592.55000000000007</v>
      </c>
      <c r="F9" s="111"/>
    </row>
    <row r="10" spans="1:6" x14ac:dyDescent="0.25">
      <c r="A10" s="111"/>
      <c r="B10" s="88" t="str">
        <f>BENEFIT_DESIGN!B12</f>
        <v>Professional Services: Primary Care</v>
      </c>
      <c r="C10" s="84">
        <f>SUMIFS(DIABETES_TIMELINE!AllowedAmt,DIABETES_TIMELINE!BenefitCategory,$B10)</f>
        <v>791.28</v>
      </c>
      <c r="D10" s="84">
        <f>SUMIFS(MATERNITY_TIMELINE!AllowedAmt,MATERNITY_TIMELINE!BenefitCategory,$B10)</f>
        <v>198</v>
      </c>
      <c r="E10" s="84">
        <f>SUMIFS(FRACTURE_TIMELINE!AllowedAmt,FRACTURE_TIMELINE!BenefitCategory,$B10)</f>
        <v>0</v>
      </c>
      <c r="F10" s="111"/>
    </row>
    <row r="11" spans="1:6" x14ac:dyDescent="0.25">
      <c r="A11" s="111"/>
      <c r="B11" s="88" t="str">
        <f>BENEFIT_DESIGN!B13</f>
        <v>Professional Services: Emergency Department</v>
      </c>
      <c r="C11" s="84">
        <f>SUMIFS(DIABETES_TIMELINE!AllowedAmt,DIABETES_TIMELINE!BenefitCategory,$B11)</f>
        <v>0</v>
      </c>
      <c r="D11" s="84">
        <f>SUMIFS(MATERNITY_TIMELINE!AllowedAmt,MATERNITY_TIMELINE!BenefitCategory,$B11)</f>
        <v>0</v>
      </c>
      <c r="E11" s="84">
        <f>SUMIFS(FRACTURE_TIMELINE!AllowedAmt,FRACTURE_TIMELINE!BenefitCategory,$B11)</f>
        <v>557.41000000000008</v>
      </c>
      <c r="F11" s="111"/>
    </row>
    <row r="12" spans="1:6" x14ac:dyDescent="0.25">
      <c r="A12" s="111"/>
      <c r="B12" s="88" t="str">
        <f>BENEFIT_DESIGN!B14</f>
        <v>Professional Services: Specialist</v>
      </c>
      <c r="C12" s="84">
        <f>SUMIFS(DIABETES_TIMELINE!AllowedAmt,DIABETES_TIMELINE!BenefitCategory,$B12)</f>
        <v>273.24</v>
      </c>
      <c r="D12" s="84">
        <f>SUMIFS(MATERNITY_TIMELINE!AllowedAmt,MATERNITY_TIMELINE!BenefitCategory,$B12)</f>
        <v>0</v>
      </c>
      <c r="E12" s="84">
        <f>SUMIFS(FRACTURE_TIMELINE!AllowedAmt,FRACTURE_TIMELINE!BenefitCategory,$B12)</f>
        <v>293.37</v>
      </c>
      <c r="F12" s="111"/>
    </row>
    <row r="13" spans="1:6" x14ac:dyDescent="0.25">
      <c r="A13" s="111"/>
      <c r="B13" s="88" t="str">
        <f>BENEFIT_DESIGN!B15</f>
        <v>Professional Services: Obstetric Care (Bundled)</v>
      </c>
      <c r="C13" s="84">
        <f>SUMIFS(DIABETES_TIMELINE!AllowedAmt,DIABETES_TIMELINE!BenefitCategory,$B13)</f>
        <v>0</v>
      </c>
      <c r="D13" s="84">
        <f>SUMIFS(MATERNITY_TIMELINE!AllowedAmt,MATERNITY_TIMELINE!BenefitCategory,$B13)</f>
        <v>2394.1799999999998</v>
      </c>
      <c r="E13" s="84">
        <f>SUMIFS(FRACTURE_TIMELINE!AllowedAmt,FRACTURE_TIMELINE!BenefitCategory,$B13)</f>
        <v>0</v>
      </c>
      <c r="F13" s="111"/>
    </row>
    <row r="14" spans="1:6" x14ac:dyDescent="0.25">
      <c r="A14" s="111"/>
      <c r="B14" s="88" t="str">
        <f>BENEFIT_DESIGN!B16</f>
        <v>Professional Services: Procedures &amp; Other</v>
      </c>
      <c r="C14" s="84">
        <f>SUMIFS(DIABETES_TIMELINE!AllowedAmt,DIABETES_TIMELINE!BenefitCategory,$B14)</f>
        <v>0</v>
      </c>
      <c r="D14" s="84">
        <f>SUMIFS(MATERNITY_TIMELINE!AllowedAmt,MATERNITY_TIMELINE!BenefitCategory,$B14)</f>
        <v>0</v>
      </c>
      <c r="E14" s="84">
        <f>SUMIFS(FRACTURE_TIMELINE!AllowedAmt,FRACTURE_TIMELINE!BenefitCategory,$B14)</f>
        <v>0</v>
      </c>
      <c r="F14" s="111"/>
    </row>
    <row r="15" spans="1:6" x14ac:dyDescent="0.25">
      <c r="A15" s="111"/>
      <c r="B15" s="88" t="str">
        <f>BENEFIT_DESIGN!B17</f>
        <v>Professional Services: Physical Therapy</v>
      </c>
      <c r="C15" s="84">
        <f>SUMIFS(DIABETES_TIMELINE!AllowedAmt,DIABETES_TIMELINE!BenefitCategory,$B15)</f>
        <v>0</v>
      </c>
      <c r="D15" s="84">
        <f>SUMIFS(MATERNITY_TIMELINE!AllowedAmt,MATERNITY_TIMELINE!BenefitCategory,$B15)</f>
        <v>0</v>
      </c>
      <c r="E15" s="84">
        <f>SUMIFS(FRACTURE_TIMELINE!AllowedAmt,FRACTURE_TIMELINE!BenefitCategory,$B15)</f>
        <v>215.76</v>
      </c>
      <c r="F15" s="111"/>
    </row>
    <row r="16" spans="1:6" x14ac:dyDescent="0.25">
      <c r="A16" s="111"/>
      <c r="B16" s="88" t="str">
        <f>BENEFIT_DESIGN!B18</f>
        <v>Diagnostic Services: Radiology</v>
      </c>
      <c r="C16" s="84">
        <f>SUMIFS(DIABETES_TIMELINE!AllowedAmt,DIABETES_TIMELINE!BenefitCategory,$B16)</f>
        <v>0</v>
      </c>
      <c r="D16" s="84">
        <f>SUMIFS(MATERNITY_TIMELINE!AllowedAmt,MATERNITY_TIMELINE!BenefitCategory,$B16)</f>
        <v>163.99</v>
      </c>
      <c r="E16" s="84">
        <f>SUMIFS(FRACTURE_TIMELINE!AllowedAmt,FRACTURE_TIMELINE!BenefitCategory,$B16)</f>
        <v>30.2</v>
      </c>
      <c r="F16" s="111"/>
    </row>
    <row r="17" spans="1:6" x14ac:dyDescent="0.25">
      <c r="A17" s="111"/>
      <c r="B17" s="88" t="str">
        <f>BENEFIT_DESIGN!B19</f>
        <v>Diagnostic Services: Laboratory</v>
      </c>
      <c r="C17" s="84">
        <f>SUMIFS(DIABETES_TIMELINE!AllowedAmt,DIABETES_TIMELINE!BenefitCategory,$B17)</f>
        <v>133.69999999999999</v>
      </c>
      <c r="D17" s="84">
        <f>SUMIFS(MATERNITY_TIMELINE!AllowedAmt,MATERNITY_TIMELINE!BenefitCategory,$B17)</f>
        <v>882.13999999999987</v>
      </c>
      <c r="E17" s="84">
        <f>SUMIFS(FRACTURE_TIMELINE!AllowedAmt,FRACTURE_TIMELINE!BenefitCategory,$B17)</f>
        <v>0</v>
      </c>
      <c r="F17" s="111"/>
    </row>
    <row r="18" spans="1:6" x14ac:dyDescent="0.25">
      <c r="A18" s="111"/>
      <c r="B18" s="88" t="str">
        <f>BENEFIT_DESIGN!B20</f>
        <v>Prescription Drugs: Generic</v>
      </c>
      <c r="C18" s="84">
        <f>SUMIFS(DIABETES_TIMELINE!AllowedAmt,DIABETES_TIMELINE!BenefitCategory,$B18)</f>
        <v>676.12000000000012</v>
      </c>
      <c r="D18" s="84">
        <f>SUMIFS(MATERNITY_TIMELINE!AllowedAmt,MATERNITY_TIMELINE!BenefitCategory,$B18)</f>
        <v>36.274999999999999</v>
      </c>
      <c r="E18" s="84">
        <f>SUMIFS(FRACTURE_TIMELINE!AllowedAmt,FRACTURE_TIMELINE!BenefitCategory,$B18)</f>
        <v>0</v>
      </c>
      <c r="F18" s="111"/>
    </row>
    <row r="19" spans="1:6" x14ac:dyDescent="0.25">
      <c r="A19" s="111"/>
      <c r="B19" s="88" t="str">
        <f>BENEFIT_DESIGN!B21</f>
        <v>Prescription Drugs: Branded</v>
      </c>
      <c r="C19" s="84">
        <f>SUMIFS(DIABETES_TIMELINE!AllowedAmt,DIABETES_TIMELINE!BenefitCategory,$B19)</f>
        <v>3581.630000000001</v>
      </c>
      <c r="D19" s="84">
        <f>SUMIFS(MATERNITY_TIMELINE!AllowedAmt,MATERNITY_TIMELINE!BenefitCategory,$B19)</f>
        <v>0</v>
      </c>
      <c r="E19" s="84">
        <f>SUMIFS(FRACTURE_TIMELINE!AllowedAmt,FRACTURE_TIMELINE!BenefitCategory,$B19)</f>
        <v>0</v>
      </c>
      <c r="F19" s="111"/>
    </row>
    <row r="20" spans="1:6" x14ac:dyDescent="0.25">
      <c r="A20" s="111"/>
      <c r="B20" s="88" t="str">
        <f>BENEFIT_DESIGN!B22</f>
        <v>Over-the-counter Drugs</v>
      </c>
      <c r="C20" s="84">
        <f>SUMIFS(DIABETES_TIMELINE!AllowedAmt,DIABETES_TIMELINE!BenefitCategory,$B20)</f>
        <v>55.260000000000019</v>
      </c>
      <c r="D20" s="84">
        <f>SUMIFS(MATERNITY_TIMELINE!AllowedAmt,MATERNITY_TIMELINE!BenefitCategory,$B20)</f>
        <v>60.017134523809524</v>
      </c>
      <c r="E20" s="84">
        <f>SUMIFS(FRACTURE_TIMELINE!AllowedAmt,FRACTURE_TIMELINE!BenefitCategory,$B20)</f>
        <v>0</v>
      </c>
      <c r="F20" s="111"/>
    </row>
    <row r="21" spans="1:6" x14ac:dyDescent="0.25">
      <c r="A21" s="111"/>
      <c r="B21" s="88" t="str">
        <f>BENEFIT_DESIGN!B23</f>
        <v>Preventive Services &amp; Vaccines</v>
      </c>
      <c r="C21" s="84">
        <f>SUMIFS(DIABETES_TIMELINE!AllowedAmt,DIABETES_TIMELINE!BenefitCategory,$B21)</f>
        <v>150.11000000000001</v>
      </c>
      <c r="D21" s="84">
        <f>SUMIFS(MATERNITY_TIMELINE!AllowedAmt,MATERNITY_TIMELINE!BenefitCategory,$B21)</f>
        <v>37.269999999999996</v>
      </c>
      <c r="E21" s="84">
        <f>SUMIFS(FRACTURE_TIMELINE!AllowedAmt,FRACTURE_TIMELINE!BenefitCategory,$B21)</f>
        <v>0</v>
      </c>
      <c r="F21" s="111"/>
    </row>
    <row r="22" spans="1:6" x14ac:dyDescent="0.25">
      <c r="A22" s="111"/>
      <c r="B22" s="88" t="str">
        <f>BENEFIT_DESIGN!B24</f>
        <v>Durable Medical Equipment</v>
      </c>
      <c r="C22" s="84">
        <f>SUMIFS(DIABETES_TIMELINE!AllowedAmt,DIABETES_TIMELINE!BenefitCategory,$B22)</f>
        <v>0</v>
      </c>
      <c r="D22" s="84">
        <f>SUMIFS(MATERNITY_TIMELINE!AllowedAmt,MATERNITY_TIMELINE!BenefitCategory,$B22)</f>
        <v>0</v>
      </c>
      <c r="E22" s="84">
        <f>SUMIFS(FRACTURE_TIMELINE!AllowedAmt,FRACTURE_TIMELINE!BenefitCategory,$B22)</f>
        <v>198.61</v>
      </c>
      <c r="F22" s="111"/>
    </row>
    <row r="23" spans="1:6" x14ac:dyDescent="0.25">
      <c r="A23" s="111"/>
      <c r="B23" s="88" t="str">
        <f>BENEFIT_DESIGN!B25</f>
        <v>Medical Supplies</v>
      </c>
      <c r="C23" s="84">
        <f>SUMIFS(DIABETES_TIMELINE!AllowedAmt,DIABETES_TIMELINE!BenefitCategory,$B23)</f>
        <v>1727.9300000000005</v>
      </c>
      <c r="D23" s="84">
        <f>SUMIFS(MATERNITY_TIMELINE!AllowedAmt,MATERNITY_TIMELINE!BenefitCategory,$B23)</f>
        <v>0</v>
      </c>
      <c r="E23" s="84">
        <f>SUMIFS(FRACTURE_TIMELINE!AllowedAmt,FRACTURE_TIMELINE!BenefitCategory,$B23)</f>
        <v>0</v>
      </c>
      <c r="F23" s="111"/>
    </row>
    <row r="24" spans="1:6" x14ac:dyDescent="0.25">
      <c r="A24" s="111"/>
      <c r="B24" s="88" t="str">
        <f>BENEFIT_DESIGN!B26</f>
        <v>Over-the-counter Medical Supplies</v>
      </c>
      <c r="C24" s="84">
        <f>SUMIFS(DIABETES_TIMELINE!AllowedAmt,DIABETES_TIMELINE!BenefitCategory,$B24)</f>
        <v>0</v>
      </c>
      <c r="D24" s="84">
        <f>SUMIFS(MATERNITY_TIMELINE!AllowedAmt,MATERNITY_TIMELINE!BenefitCategory,$B24)</f>
        <v>0</v>
      </c>
      <c r="E24" s="84">
        <f>SUMIFS(FRACTURE_TIMELINE!AllowedAmt,FRACTURE_TIMELINE!BenefitCategory,$B24)</f>
        <v>0</v>
      </c>
      <c r="F24" s="111"/>
    </row>
    <row r="25" spans="1:6" x14ac:dyDescent="0.25">
      <c r="A25" s="111"/>
      <c r="B25" s="88" t="str">
        <f>BENEFIT_DESIGN!B27</f>
        <v>Other Items &amp; Services</v>
      </c>
      <c r="C25" s="84">
        <f>SUMIFS(DIABETES_TIMELINE!AllowedAmt,DIABETES_TIMELINE!BenefitCategory,$B25)</f>
        <v>0</v>
      </c>
      <c r="D25" s="84">
        <f>SUMIFS(MATERNITY_TIMELINE!AllowedAmt,MATERNITY_TIMELINE!BenefitCategory,$B25)</f>
        <v>0</v>
      </c>
      <c r="E25" s="84">
        <f>SUMIFS(FRACTURE_TIMELINE!AllowedAmt,FRACTURE_TIMELINE!BenefitCategory,$B25)</f>
        <v>0</v>
      </c>
      <c r="F25" s="111"/>
    </row>
    <row r="26" spans="1:6" x14ac:dyDescent="0.25">
      <c r="A26" s="111"/>
      <c r="B26" s="96" t="s">
        <v>91</v>
      </c>
      <c r="C26" s="97">
        <f>SUM(C6:C25)</f>
        <v>7389.2700000000013</v>
      </c>
      <c r="D26" s="97">
        <f>SUM(D6:D25)</f>
        <v>12731.252134523809</v>
      </c>
      <c r="E26" s="97">
        <f>SUM(E6:E25)</f>
        <v>1925.0400000000004</v>
      </c>
      <c r="F26" s="111"/>
    </row>
    <row r="27" spans="1:6" x14ac:dyDescent="0.25">
      <c r="A27" s="111"/>
      <c r="B27" s="111"/>
      <c r="C27" s="111"/>
      <c r="D27" s="111"/>
      <c r="E27" s="111"/>
      <c r="F27" s="111"/>
    </row>
    <row r="28" spans="1:6" ht="15" hidden="1" customHeight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8"/>
  <sheetViews>
    <sheetView workbookViewId="0"/>
  </sheetViews>
  <sheetFormatPr defaultColWidth="0" defaultRowHeight="15" zeroHeight="1" x14ac:dyDescent="0.25"/>
  <cols>
    <col min="1" max="1" width="2.7109375" customWidth="1"/>
    <col min="2" max="2" width="43.7109375" bestFit="1" customWidth="1"/>
    <col min="3" max="10" width="12.7109375" customWidth="1"/>
    <col min="11" max="11" width="2.7109375" customWidth="1"/>
    <col min="12" max="16384" width="9.140625" hidden="1"/>
  </cols>
  <sheetData>
    <row r="1" spans="1:1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111"/>
      <c r="B2" s="124" t="s">
        <v>229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x14ac:dyDescent="0.25">
      <c r="A4" s="111"/>
      <c r="B4" s="87" t="str">
        <f>BENEFIT_DESIGN!$B$6</f>
        <v>Plan 3</v>
      </c>
      <c r="C4" s="82" t="s">
        <v>189</v>
      </c>
      <c r="D4" s="83"/>
      <c r="E4" s="87"/>
      <c r="F4" s="82" t="s">
        <v>87</v>
      </c>
      <c r="G4" s="82"/>
      <c r="H4" s="82"/>
      <c r="I4" s="82"/>
      <c r="J4" s="83"/>
      <c r="K4" s="111"/>
    </row>
    <row r="5" spans="1:11" ht="45" x14ac:dyDescent="0.25">
      <c r="A5" s="111"/>
      <c r="B5" s="91" t="s">
        <v>9</v>
      </c>
      <c r="C5" s="92" t="s">
        <v>90</v>
      </c>
      <c r="D5" s="93" t="s">
        <v>89</v>
      </c>
      <c r="E5" s="94" t="s">
        <v>88</v>
      </c>
      <c r="F5" s="95" t="s">
        <v>12</v>
      </c>
      <c r="G5" s="99" t="s">
        <v>29</v>
      </c>
      <c r="H5" s="100" t="s">
        <v>30</v>
      </c>
      <c r="I5" s="100" t="s">
        <v>31</v>
      </c>
      <c r="J5" s="101" t="s">
        <v>28</v>
      </c>
      <c r="K5" s="111"/>
    </row>
    <row r="6" spans="1:11" x14ac:dyDescent="0.25">
      <c r="A6" s="111"/>
      <c r="B6" s="88" t="str">
        <f>BENEFIT_DESIGN!B8</f>
        <v>Inpatient Hospital Care (Facility)</v>
      </c>
      <c r="C6" s="84">
        <f>SUMIFS(DIABETES_TIMELINE!AllowedAmt,DIABETES_TIMELINE!BenefitCategory,$B6)</f>
        <v>0</v>
      </c>
      <c r="D6" s="85">
        <f t="shared" ref="D6" si="0">MROUND(C6,IF(C6&gt;=100,100,10))</f>
        <v>0</v>
      </c>
      <c r="E6" s="90">
        <f>SUMIFS(DIABETES_TIMELINE!PlanPaymentAmt,DIABETES_TIMELINE!BenefitCategory,$B6)</f>
        <v>0</v>
      </c>
      <c r="F6" s="90">
        <f t="shared" ref="F6" si="1">SUM(G6:J6)</f>
        <v>0</v>
      </c>
      <c r="G6" s="102">
        <f>SUMIFS(DIABETES_TIMELINE!SubscriberPayDeduc,DIABETES_TIMELINE!BenefitCategory,$B6)</f>
        <v>0</v>
      </c>
      <c r="H6" s="103">
        <f>SUMIFS(DIABETES_TIMELINE!SubscriberPayCopay,DIABETES_TIMELINE!BenefitCategory,$B6)</f>
        <v>0</v>
      </c>
      <c r="I6" s="103">
        <f>SUMIFS(DIABETES_TIMELINE!SubscriberPayCoins,DIABETES_TIMELINE!BenefitCategory,$B6)</f>
        <v>0</v>
      </c>
      <c r="J6" s="104">
        <f>SUMIFS(DIABETES_TIMELINE!SubscriberPayNonCov,DIABETES_TIMELINE!BenefitCategory,$B6)+SUMIFS(DIABETES_TIMELINE!SubscriberPayExclusion,DIABETES_TIMELINE!BenefitCategory,$B6)</f>
        <v>0</v>
      </c>
      <c r="K6" s="111"/>
    </row>
    <row r="7" spans="1:11" x14ac:dyDescent="0.25">
      <c r="A7" s="111"/>
      <c r="B7" s="88" t="str">
        <f>BENEFIT_DESIGN!B9</f>
        <v>Other Facility Services</v>
      </c>
      <c r="C7" s="84">
        <f>SUMIFS(DIABETES_TIMELINE!AllowedAmt,DIABETES_TIMELINE!BenefitCategory,$B7)</f>
        <v>0</v>
      </c>
      <c r="D7" s="85">
        <f t="shared" ref="D7:D25" si="2">MROUND(C7,IF(C7&gt;=100,100,10))</f>
        <v>0</v>
      </c>
      <c r="E7" s="90">
        <f>SUMIFS(DIABETES_TIMELINE!PlanPaymentAmt,DIABETES_TIMELINE!BenefitCategory,$B7)</f>
        <v>0</v>
      </c>
      <c r="F7" s="90">
        <f t="shared" ref="F7:F25" si="3">SUM(G7:J7)</f>
        <v>0</v>
      </c>
      <c r="G7" s="102">
        <f>SUMIFS(DIABETES_TIMELINE!SubscriberPayDeduc,DIABETES_TIMELINE!BenefitCategory,$B7)</f>
        <v>0</v>
      </c>
      <c r="H7" s="103">
        <f>SUMIFS(DIABETES_TIMELINE!SubscriberPayCopay,DIABETES_TIMELINE!BenefitCategory,$B7)</f>
        <v>0</v>
      </c>
      <c r="I7" s="103">
        <f>SUMIFS(DIABETES_TIMELINE!SubscriberPayCoins,DIABETES_TIMELINE!BenefitCategory,$B7)</f>
        <v>0</v>
      </c>
      <c r="J7" s="104">
        <f>SUMIFS(DIABETES_TIMELINE!SubscriberPayNonCov,DIABETES_TIMELINE!BenefitCategory,$B7)+SUMIFS(DIABETES_TIMELINE!SubscriberPayExclusion,DIABETES_TIMELINE!BenefitCategory,$B7)</f>
        <v>0</v>
      </c>
      <c r="K7" s="111"/>
    </row>
    <row r="8" spans="1:11" x14ac:dyDescent="0.25">
      <c r="A8" s="111"/>
      <c r="B8" s="88" t="str">
        <f>BENEFIT_DESIGN!B10</f>
        <v>Emergency Department (Facility)</v>
      </c>
      <c r="C8" s="84">
        <f>SUMIFS(DIABETES_TIMELINE!AllowedAmt,DIABETES_TIMELINE!BenefitCategory,$B8)</f>
        <v>0</v>
      </c>
      <c r="D8" s="85">
        <f t="shared" si="2"/>
        <v>0</v>
      </c>
      <c r="E8" s="90">
        <f>SUMIFS(DIABETES_TIMELINE!PlanPaymentAmt,DIABETES_TIMELINE!BenefitCategory,$B8)</f>
        <v>0</v>
      </c>
      <c r="F8" s="90">
        <f t="shared" si="3"/>
        <v>0</v>
      </c>
      <c r="G8" s="102">
        <f>SUMIFS(DIABETES_TIMELINE!SubscriberPayDeduc,DIABETES_TIMELINE!BenefitCategory,$B8)</f>
        <v>0</v>
      </c>
      <c r="H8" s="103">
        <f>SUMIFS(DIABETES_TIMELINE!SubscriberPayCopay,DIABETES_TIMELINE!BenefitCategory,$B8)</f>
        <v>0</v>
      </c>
      <c r="I8" s="103">
        <f>SUMIFS(DIABETES_TIMELINE!SubscriberPayCoins,DIABETES_TIMELINE!BenefitCategory,$B8)</f>
        <v>0</v>
      </c>
      <c r="J8" s="104">
        <f>SUMIFS(DIABETES_TIMELINE!SubscriberPayNonCov,DIABETES_TIMELINE!BenefitCategory,$B8)+SUMIFS(DIABETES_TIMELINE!SubscriberPayExclusion,DIABETES_TIMELINE!BenefitCategory,$B8)</f>
        <v>0</v>
      </c>
      <c r="K8" s="111"/>
    </row>
    <row r="9" spans="1:11" x14ac:dyDescent="0.25">
      <c r="A9" s="111"/>
      <c r="B9" s="88" t="str">
        <f>BENEFIT_DESIGN!B11</f>
        <v>Ambulance</v>
      </c>
      <c r="C9" s="84">
        <f>SUMIFS(DIABETES_TIMELINE!AllowedAmt,DIABETES_TIMELINE!BenefitCategory,$B9)</f>
        <v>0</v>
      </c>
      <c r="D9" s="85">
        <f t="shared" si="2"/>
        <v>0</v>
      </c>
      <c r="E9" s="90">
        <f>SUMIFS(DIABETES_TIMELINE!PlanPaymentAmt,DIABETES_TIMELINE!BenefitCategory,$B9)</f>
        <v>0</v>
      </c>
      <c r="F9" s="90">
        <f t="shared" si="3"/>
        <v>0</v>
      </c>
      <c r="G9" s="102">
        <f>SUMIFS(DIABETES_TIMELINE!SubscriberPayDeduc,DIABETES_TIMELINE!BenefitCategory,$B9)</f>
        <v>0</v>
      </c>
      <c r="H9" s="103">
        <f>SUMIFS(DIABETES_TIMELINE!SubscriberPayCopay,DIABETES_TIMELINE!BenefitCategory,$B9)</f>
        <v>0</v>
      </c>
      <c r="I9" s="103">
        <f>SUMIFS(DIABETES_TIMELINE!SubscriberPayCoins,DIABETES_TIMELINE!BenefitCategory,$B9)</f>
        <v>0</v>
      </c>
      <c r="J9" s="104">
        <f>SUMIFS(DIABETES_TIMELINE!SubscriberPayNonCov,DIABETES_TIMELINE!BenefitCategory,$B9)+SUMIFS(DIABETES_TIMELINE!SubscriberPayExclusion,DIABETES_TIMELINE!BenefitCategory,$B9)</f>
        <v>0</v>
      </c>
      <c r="K9" s="111"/>
    </row>
    <row r="10" spans="1:11" x14ac:dyDescent="0.25">
      <c r="A10" s="111"/>
      <c r="B10" s="88" t="str">
        <f>BENEFIT_DESIGN!B12</f>
        <v>Professional Services: Primary Care</v>
      </c>
      <c r="C10" s="84">
        <f>SUMIFS(DIABETES_TIMELINE!AllowedAmt,DIABETES_TIMELINE!BenefitCategory,$B10)</f>
        <v>791.28</v>
      </c>
      <c r="D10" s="85">
        <f t="shared" si="2"/>
        <v>800</v>
      </c>
      <c r="E10" s="90">
        <f>SUMIFS(DIABETES_TIMELINE!PlanPaymentAmt,DIABETES_TIMELINE!BenefitCategory,$B10)</f>
        <v>551.28</v>
      </c>
      <c r="F10" s="90">
        <f t="shared" si="3"/>
        <v>240</v>
      </c>
      <c r="G10" s="102">
        <f>SUMIFS(DIABETES_TIMELINE!SubscriberPayDeduc,DIABETES_TIMELINE!BenefitCategory,$B10)</f>
        <v>0</v>
      </c>
      <c r="H10" s="103">
        <f>SUMIFS(DIABETES_TIMELINE!SubscriberPayCopay,DIABETES_TIMELINE!BenefitCategory,$B10)</f>
        <v>240</v>
      </c>
      <c r="I10" s="103">
        <f>SUMIFS(DIABETES_TIMELINE!SubscriberPayCoins,DIABETES_TIMELINE!BenefitCategory,$B10)</f>
        <v>0</v>
      </c>
      <c r="J10" s="104">
        <f>SUMIFS(DIABETES_TIMELINE!SubscriberPayNonCov,DIABETES_TIMELINE!BenefitCategory,$B10)+SUMIFS(DIABETES_TIMELINE!SubscriberPayExclusion,DIABETES_TIMELINE!BenefitCategory,$B10)</f>
        <v>0</v>
      </c>
      <c r="K10" s="111"/>
    </row>
    <row r="11" spans="1:11" x14ac:dyDescent="0.25">
      <c r="A11" s="111"/>
      <c r="B11" s="88" t="str">
        <f>BENEFIT_DESIGN!B13</f>
        <v>Professional Services: Emergency Department</v>
      </c>
      <c r="C11" s="84">
        <f>SUMIFS(DIABETES_TIMELINE!AllowedAmt,DIABETES_TIMELINE!BenefitCategory,$B11)</f>
        <v>0</v>
      </c>
      <c r="D11" s="85">
        <f t="shared" si="2"/>
        <v>0</v>
      </c>
      <c r="E11" s="90">
        <f>SUMIFS(DIABETES_TIMELINE!PlanPaymentAmt,DIABETES_TIMELINE!BenefitCategory,$B11)</f>
        <v>0</v>
      </c>
      <c r="F11" s="90">
        <f t="shared" si="3"/>
        <v>0</v>
      </c>
      <c r="G11" s="102">
        <f>SUMIFS(DIABETES_TIMELINE!SubscriberPayDeduc,DIABETES_TIMELINE!BenefitCategory,$B11)</f>
        <v>0</v>
      </c>
      <c r="H11" s="103">
        <f>SUMIFS(DIABETES_TIMELINE!SubscriberPayCopay,DIABETES_TIMELINE!BenefitCategory,$B11)</f>
        <v>0</v>
      </c>
      <c r="I11" s="103">
        <f>SUMIFS(DIABETES_TIMELINE!SubscriberPayCoins,DIABETES_TIMELINE!BenefitCategory,$B11)</f>
        <v>0</v>
      </c>
      <c r="J11" s="104">
        <f>SUMIFS(DIABETES_TIMELINE!SubscriberPayNonCov,DIABETES_TIMELINE!BenefitCategory,$B11)+SUMIFS(DIABETES_TIMELINE!SubscriberPayExclusion,DIABETES_TIMELINE!BenefitCategory,$B11)</f>
        <v>0</v>
      </c>
      <c r="K11" s="111"/>
    </row>
    <row r="12" spans="1:11" x14ac:dyDescent="0.25">
      <c r="A12" s="111"/>
      <c r="B12" s="88" t="str">
        <f>BENEFIT_DESIGN!B14</f>
        <v>Professional Services: Specialist</v>
      </c>
      <c r="C12" s="84">
        <f>SUMIFS(DIABETES_TIMELINE!AllowedAmt,DIABETES_TIMELINE!BenefitCategory,$B12)</f>
        <v>273.24</v>
      </c>
      <c r="D12" s="85">
        <f t="shared" si="2"/>
        <v>300</v>
      </c>
      <c r="E12" s="90">
        <f>SUMIFS(DIABETES_TIMELINE!PlanPaymentAmt,DIABETES_TIMELINE!BenefitCategory,$B12)</f>
        <v>0</v>
      </c>
      <c r="F12" s="90">
        <f t="shared" si="3"/>
        <v>273.24</v>
      </c>
      <c r="G12" s="102">
        <f>SUMIFS(DIABETES_TIMELINE!SubscriberPayDeduc,DIABETES_TIMELINE!BenefitCategory,$B12)</f>
        <v>273.24</v>
      </c>
      <c r="H12" s="103">
        <f>SUMIFS(DIABETES_TIMELINE!SubscriberPayCopay,DIABETES_TIMELINE!BenefitCategory,$B12)</f>
        <v>0</v>
      </c>
      <c r="I12" s="103">
        <f>SUMIFS(DIABETES_TIMELINE!SubscriberPayCoins,DIABETES_TIMELINE!BenefitCategory,$B12)</f>
        <v>0</v>
      </c>
      <c r="J12" s="104">
        <f>SUMIFS(DIABETES_TIMELINE!SubscriberPayNonCov,DIABETES_TIMELINE!BenefitCategory,$B12)+SUMIFS(DIABETES_TIMELINE!SubscriberPayExclusion,DIABETES_TIMELINE!BenefitCategory,$B12)</f>
        <v>0</v>
      </c>
      <c r="K12" s="111"/>
    </row>
    <row r="13" spans="1:11" x14ac:dyDescent="0.25">
      <c r="A13" s="111"/>
      <c r="B13" s="88" t="str">
        <f>BENEFIT_DESIGN!B15</f>
        <v>Professional Services: Obstetric Care (Bundled)</v>
      </c>
      <c r="C13" s="84">
        <f>SUMIFS(DIABETES_TIMELINE!AllowedAmt,DIABETES_TIMELINE!BenefitCategory,$B13)</f>
        <v>0</v>
      </c>
      <c r="D13" s="85">
        <f t="shared" si="2"/>
        <v>0</v>
      </c>
      <c r="E13" s="90">
        <f>SUMIFS(DIABETES_TIMELINE!PlanPaymentAmt,DIABETES_TIMELINE!BenefitCategory,$B13)</f>
        <v>0</v>
      </c>
      <c r="F13" s="90">
        <f t="shared" si="3"/>
        <v>0</v>
      </c>
      <c r="G13" s="102">
        <f>SUMIFS(DIABETES_TIMELINE!SubscriberPayDeduc,DIABETES_TIMELINE!BenefitCategory,$B13)</f>
        <v>0</v>
      </c>
      <c r="H13" s="103">
        <f>SUMIFS(DIABETES_TIMELINE!SubscriberPayCopay,DIABETES_TIMELINE!BenefitCategory,$B13)</f>
        <v>0</v>
      </c>
      <c r="I13" s="103">
        <f>SUMIFS(DIABETES_TIMELINE!SubscriberPayCoins,DIABETES_TIMELINE!BenefitCategory,$B13)</f>
        <v>0</v>
      </c>
      <c r="J13" s="104">
        <f>SUMIFS(DIABETES_TIMELINE!SubscriberPayNonCov,DIABETES_TIMELINE!BenefitCategory,$B13)+SUMIFS(DIABETES_TIMELINE!SubscriberPayExclusion,DIABETES_TIMELINE!BenefitCategory,$B13)</f>
        <v>0</v>
      </c>
      <c r="K13" s="111"/>
    </row>
    <row r="14" spans="1:11" x14ac:dyDescent="0.25">
      <c r="A14" s="111"/>
      <c r="B14" s="88" t="str">
        <f>BENEFIT_DESIGN!B16</f>
        <v>Professional Services: Procedures &amp; Other</v>
      </c>
      <c r="C14" s="84">
        <f>SUMIFS(DIABETES_TIMELINE!AllowedAmt,DIABETES_TIMELINE!BenefitCategory,$B14)</f>
        <v>0</v>
      </c>
      <c r="D14" s="85">
        <f t="shared" si="2"/>
        <v>0</v>
      </c>
      <c r="E14" s="90">
        <f>SUMIFS(DIABETES_TIMELINE!PlanPaymentAmt,DIABETES_TIMELINE!BenefitCategory,$B14)</f>
        <v>0</v>
      </c>
      <c r="F14" s="90">
        <f t="shared" si="3"/>
        <v>0</v>
      </c>
      <c r="G14" s="102">
        <f>SUMIFS(DIABETES_TIMELINE!SubscriberPayDeduc,DIABETES_TIMELINE!BenefitCategory,$B14)</f>
        <v>0</v>
      </c>
      <c r="H14" s="103">
        <f>SUMIFS(DIABETES_TIMELINE!SubscriberPayCopay,DIABETES_TIMELINE!BenefitCategory,$B14)</f>
        <v>0</v>
      </c>
      <c r="I14" s="103">
        <f>SUMIFS(DIABETES_TIMELINE!SubscriberPayCoins,DIABETES_TIMELINE!BenefitCategory,$B14)</f>
        <v>0</v>
      </c>
      <c r="J14" s="104">
        <f>SUMIFS(DIABETES_TIMELINE!SubscriberPayNonCov,DIABETES_TIMELINE!BenefitCategory,$B14)+SUMIFS(DIABETES_TIMELINE!SubscriberPayExclusion,DIABETES_TIMELINE!BenefitCategory,$B14)</f>
        <v>0</v>
      </c>
      <c r="K14" s="111"/>
    </row>
    <row r="15" spans="1:11" x14ac:dyDescent="0.25">
      <c r="A15" s="111"/>
      <c r="B15" s="88" t="str">
        <f>BENEFIT_DESIGN!B17</f>
        <v>Professional Services: Physical Therapy</v>
      </c>
      <c r="C15" s="84">
        <f>SUMIFS(DIABETES_TIMELINE!AllowedAmt,DIABETES_TIMELINE!BenefitCategory,$B15)</f>
        <v>0</v>
      </c>
      <c r="D15" s="85">
        <f t="shared" si="2"/>
        <v>0</v>
      </c>
      <c r="E15" s="90">
        <f>SUMIFS(DIABETES_TIMELINE!PlanPaymentAmt,DIABETES_TIMELINE!BenefitCategory,$B15)</f>
        <v>0</v>
      </c>
      <c r="F15" s="90">
        <f t="shared" si="3"/>
        <v>0</v>
      </c>
      <c r="G15" s="102">
        <f>SUMIFS(DIABETES_TIMELINE!SubscriberPayDeduc,DIABETES_TIMELINE!BenefitCategory,$B15)</f>
        <v>0</v>
      </c>
      <c r="H15" s="103">
        <f>SUMIFS(DIABETES_TIMELINE!SubscriberPayCopay,DIABETES_TIMELINE!BenefitCategory,$B15)</f>
        <v>0</v>
      </c>
      <c r="I15" s="103">
        <f>SUMIFS(DIABETES_TIMELINE!SubscriberPayCoins,DIABETES_TIMELINE!BenefitCategory,$B15)</f>
        <v>0</v>
      </c>
      <c r="J15" s="104">
        <f>SUMIFS(DIABETES_TIMELINE!SubscriberPayNonCov,DIABETES_TIMELINE!BenefitCategory,$B15)+SUMIFS(DIABETES_TIMELINE!SubscriberPayExclusion,DIABETES_TIMELINE!BenefitCategory,$B15)</f>
        <v>0</v>
      </c>
      <c r="K15" s="111"/>
    </row>
    <row r="16" spans="1:11" x14ac:dyDescent="0.25">
      <c r="A16" s="111"/>
      <c r="B16" s="88" t="str">
        <f>BENEFIT_DESIGN!B18</f>
        <v>Diagnostic Services: Radiology</v>
      </c>
      <c r="C16" s="84">
        <f>SUMIFS(DIABETES_TIMELINE!AllowedAmt,DIABETES_TIMELINE!BenefitCategory,$B16)</f>
        <v>0</v>
      </c>
      <c r="D16" s="85">
        <f t="shared" si="2"/>
        <v>0</v>
      </c>
      <c r="E16" s="90">
        <f>SUMIFS(DIABETES_TIMELINE!PlanPaymentAmt,DIABETES_TIMELINE!BenefitCategory,$B16)</f>
        <v>0</v>
      </c>
      <c r="F16" s="90">
        <f t="shared" si="3"/>
        <v>0</v>
      </c>
      <c r="G16" s="102">
        <f>SUMIFS(DIABETES_TIMELINE!SubscriberPayDeduc,DIABETES_TIMELINE!BenefitCategory,$B16)</f>
        <v>0</v>
      </c>
      <c r="H16" s="103">
        <f>SUMIFS(DIABETES_TIMELINE!SubscriberPayCopay,DIABETES_TIMELINE!BenefitCategory,$B16)</f>
        <v>0</v>
      </c>
      <c r="I16" s="103">
        <f>SUMIFS(DIABETES_TIMELINE!SubscriberPayCoins,DIABETES_TIMELINE!BenefitCategory,$B16)</f>
        <v>0</v>
      </c>
      <c r="J16" s="104">
        <f>SUMIFS(DIABETES_TIMELINE!SubscriberPayNonCov,DIABETES_TIMELINE!BenefitCategory,$B16)+SUMIFS(DIABETES_TIMELINE!SubscriberPayExclusion,DIABETES_TIMELINE!BenefitCategory,$B16)</f>
        <v>0</v>
      </c>
      <c r="K16" s="111"/>
    </row>
    <row r="17" spans="1:11" x14ac:dyDescent="0.25">
      <c r="A17" s="111"/>
      <c r="B17" s="88" t="str">
        <f>BENEFIT_DESIGN!B19</f>
        <v>Diagnostic Services: Laboratory</v>
      </c>
      <c r="C17" s="84">
        <f>SUMIFS(DIABETES_TIMELINE!AllowedAmt,DIABETES_TIMELINE!BenefitCategory,$B17)</f>
        <v>133.69999999999999</v>
      </c>
      <c r="D17" s="85">
        <f t="shared" si="2"/>
        <v>100</v>
      </c>
      <c r="E17" s="90">
        <f>SUMIFS(DIABETES_TIMELINE!PlanPaymentAmt,DIABETES_TIMELINE!BenefitCategory,$B17)</f>
        <v>46.32</v>
      </c>
      <c r="F17" s="90">
        <f t="shared" si="3"/>
        <v>87.38</v>
      </c>
      <c r="G17" s="102">
        <f>SUMIFS(DIABETES_TIMELINE!SubscriberPayDeduc,DIABETES_TIMELINE!BenefitCategory,$B17)</f>
        <v>87.38</v>
      </c>
      <c r="H17" s="103">
        <f>SUMIFS(DIABETES_TIMELINE!SubscriberPayCopay,DIABETES_TIMELINE!BenefitCategory,$B17)</f>
        <v>0</v>
      </c>
      <c r="I17" s="103">
        <f>SUMIFS(DIABETES_TIMELINE!SubscriberPayCoins,DIABETES_TIMELINE!BenefitCategory,$B17)</f>
        <v>0</v>
      </c>
      <c r="J17" s="104">
        <f>SUMIFS(DIABETES_TIMELINE!SubscriberPayNonCov,DIABETES_TIMELINE!BenefitCategory,$B17)+SUMIFS(DIABETES_TIMELINE!SubscriberPayExclusion,DIABETES_TIMELINE!BenefitCategory,$B17)</f>
        <v>0</v>
      </c>
      <c r="K17" s="111"/>
    </row>
    <row r="18" spans="1:11" x14ac:dyDescent="0.25">
      <c r="A18" s="111"/>
      <c r="B18" s="88" t="str">
        <f>BENEFIT_DESIGN!B20</f>
        <v>Prescription Drugs: Generic</v>
      </c>
      <c r="C18" s="84">
        <f>SUMIFS(DIABETES_TIMELINE!AllowedAmt,DIABETES_TIMELINE!BenefitCategory,$B18)</f>
        <v>676.12000000000012</v>
      </c>
      <c r="D18" s="85">
        <f t="shared" si="2"/>
        <v>700</v>
      </c>
      <c r="E18" s="90">
        <f>SUMIFS(DIABETES_TIMELINE!PlanPaymentAmt,DIABETES_TIMELINE!BenefitCategory,$B18)</f>
        <v>276.64999999999992</v>
      </c>
      <c r="F18" s="90">
        <f t="shared" si="3"/>
        <v>410</v>
      </c>
      <c r="G18" s="102">
        <f>SUMIFS(DIABETES_TIMELINE!SubscriberPayDeduc,DIABETES_TIMELINE!BenefitCategory,$B18)</f>
        <v>100</v>
      </c>
      <c r="H18" s="103">
        <f>SUMIFS(DIABETES_TIMELINE!SubscriberPayCopay,DIABETES_TIMELINE!BenefitCategory,$B18)</f>
        <v>310</v>
      </c>
      <c r="I18" s="103">
        <f>SUMIFS(DIABETES_TIMELINE!SubscriberPayCoins,DIABETES_TIMELINE!BenefitCategory,$B18)</f>
        <v>0</v>
      </c>
      <c r="J18" s="104">
        <f>SUMIFS(DIABETES_TIMELINE!SubscriberPayNonCov,DIABETES_TIMELINE!BenefitCategory,$B18)+SUMIFS(DIABETES_TIMELINE!SubscriberPayExclusion,DIABETES_TIMELINE!BenefitCategory,$B18)</f>
        <v>0</v>
      </c>
      <c r="K18" s="111"/>
    </row>
    <row r="19" spans="1:11" x14ac:dyDescent="0.25">
      <c r="A19" s="111"/>
      <c r="B19" s="88" t="str">
        <f>BENEFIT_DESIGN!B21</f>
        <v>Prescription Drugs: Branded</v>
      </c>
      <c r="C19" s="84">
        <f>SUMIFS(DIABETES_TIMELINE!AllowedAmt,DIABETES_TIMELINE!BenefitCategory,$B19)</f>
        <v>3581.630000000001</v>
      </c>
      <c r="D19" s="85">
        <f t="shared" si="2"/>
        <v>3600</v>
      </c>
      <c r="E19" s="90">
        <f>SUMIFS(DIABETES_TIMELINE!PlanPaymentAmt,DIABETES_TIMELINE!BenefitCategory,$B19)</f>
        <v>3191.630000000001</v>
      </c>
      <c r="F19" s="90">
        <f t="shared" si="3"/>
        <v>390</v>
      </c>
      <c r="G19" s="102">
        <f>SUMIFS(DIABETES_TIMELINE!SubscriberPayDeduc,DIABETES_TIMELINE!BenefitCategory,$B19)</f>
        <v>0</v>
      </c>
      <c r="H19" s="103">
        <f>SUMIFS(DIABETES_TIMELINE!SubscriberPayCopay,DIABETES_TIMELINE!BenefitCategory,$B19)</f>
        <v>390</v>
      </c>
      <c r="I19" s="103">
        <f>SUMIFS(DIABETES_TIMELINE!SubscriberPayCoins,DIABETES_TIMELINE!BenefitCategory,$B19)</f>
        <v>0</v>
      </c>
      <c r="J19" s="104">
        <f>SUMIFS(DIABETES_TIMELINE!SubscriberPayNonCov,DIABETES_TIMELINE!BenefitCategory,$B19)+SUMIFS(DIABETES_TIMELINE!SubscriberPayExclusion,DIABETES_TIMELINE!BenefitCategory,$B19)</f>
        <v>0</v>
      </c>
      <c r="K19" s="111"/>
    </row>
    <row r="20" spans="1:11" x14ac:dyDescent="0.25">
      <c r="A20" s="111"/>
      <c r="B20" s="88" t="str">
        <f>BENEFIT_DESIGN!B22</f>
        <v>Over-the-counter Drugs</v>
      </c>
      <c r="C20" s="84">
        <f>SUMIFS(DIABETES_TIMELINE!AllowedAmt,DIABETES_TIMELINE!BenefitCategory,$B20)</f>
        <v>55.260000000000019</v>
      </c>
      <c r="D20" s="85">
        <f t="shared" si="2"/>
        <v>60</v>
      </c>
      <c r="E20" s="90">
        <f>SUMIFS(DIABETES_TIMELINE!PlanPaymentAmt,DIABETES_TIMELINE!BenefitCategory,$B20)</f>
        <v>0</v>
      </c>
      <c r="F20" s="90">
        <f t="shared" si="3"/>
        <v>55.260000000000019</v>
      </c>
      <c r="G20" s="102">
        <f>SUMIFS(DIABETES_TIMELINE!SubscriberPayDeduc,DIABETES_TIMELINE!BenefitCategory,$B20)</f>
        <v>0</v>
      </c>
      <c r="H20" s="103">
        <f>SUMIFS(DIABETES_TIMELINE!SubscriberPayCopay,DIABETES_TIMELINE!BenefitCategory,$B20)</f>
        <v>0</v>
      </c>
      <c r="I20" s="103">
        <f>SUMIFS(DIABETES_TIMELINE!SubscriberPayCoins,DIABETES_TIMELINE!BenefitCategory,$B20)</f>
        <v>0</v>
      </c>
      <c r="J20" s="104">
        <f>SUMIFS(DIABETES_TIMELINE!SubscriberPayNonCov,DIABETES_TIMELINE!BenefitCategory,$B20)+SUMIFS(DIABETES_TIMELINE!SubscriberPayExclusion,DIABETES_TIMELINE!BenefitCategory,$B20)</f>
        <v>55.260000000000019</v>
      </c>
      <c r="K20" s="111"/>
    </row>
    <row r="21" spans="1:11" x14ac:dyDescent="0.25">
      <c r="A21" s="111"/>
      <c r="B21" s="88" t="str">
        <f>BENEFIT_DESIGN!B23</f>
        <v>Preventive Services &amp; Vaccines</v>
      </c>
      <c r="C21" s="84">
        <f>SUMIFS(DIABETES_TIMELINE!AllowedAmt,DIABETES_TIMELINE!BenefitCategory,$B21)</f>
        <v>150.11000000000001</v>
      </c>
      <c r="D21" s="85">
        <f t="shared" si="2"/>
        <v>200</v>
      </c>
      <c r="E21" s="90">
        <f>SUMIFS(DIABETES_TIMELINE!PlanPaymentAmt,DIABETES_TIMELINE!BenefitCategory,$B21)</f>
        <v>150.11000000000001</v>
      </c>
      <c r="F21" s="90">
        <f t="shared" si="3"/>
        <v>0</v>
      </c>
      <c r="G21" s="102">
        <f>SUMIFS(DIABETES_TIMELINE!SubscriberPayDeduc,DIABETES_TIMELINE!BenefitCategory,$B21)</f>
        <v>0</v>
      </c>
      <c r="H21" s="103">
        <f>SUMIFS(DIABETES_TIMELINE!SubscriberPayCopay,DIABETES_TIMELINE!BenefitCategory,$B21)</f>
        <v>0</v>
      </c>
      <c r="I21" s="103">
        <f>SUMIFS(DIABETES_TIMELINE!SubscriberPayCoins,DIABETES_TIMELINE!BenefitCategory,$B21)</f>
        <v>0</v>
      </c>
      <c r="J21" s="104">
        <f>SUMIFS(DIABETES_TIMELINE!SubscriberPayNonCov,DIABETES_TIMELINE!BenefitCategory,$B21)+SUMIFS(DIABETES_TIMELINE!SubscriberPayExclusion,DIABETES_TIMELINE!BenefitCategory,$B21)</f>
        <v>0</v>
      </c>
      <c r="K21" s="111"/>
    </row>
    <row r="22" spans="1:11" x14ac:dyDescent="0.25">
      <c r="A22" s="111"/>
      <c r="B22" s="88" t="str">
        <f>BENEFIT_DESIGN!B24</f>
        <v>Durable Medical Equipment</v>
      </c>
      <c r="C22" s="84">
        <f>SUMIFS(DIABETES_TIMELINE!AllowedAmt,DIABETES_TIMELINE!BenefitCategory,$B22)</f>
        <v>0</v>
      </c>
      <c r="D22" s="85">
        <f t="shared" si="2"/>
        <v>0</v>
      </c>
      <c r="E22" s="90">
        <f>SUMIFS(DIABETES_TIMELINE!PlanPaymentAmt,DIABETES_TIMELINE!BenefitCategory,$B22)</f>
        <v>0</v>
      </c>
      <c r="F22" s="90">
        <f t="shared" si="3"/>
        <v>0</v>
      </c>
      <c r="G22" s="102">
        <f>SUMIFS(DIABETES_TIMELINE!SubscriberPayDeduc,DIABETES_TIMELINE!BenefitCategory,$B22)</f>
        <v>0</v>
      </c>
      <c r="H22" s="103">
        <f>SUMIFS(DIABETES_TIMELINE!SubscriberPayCopay,DIABETES_TIMELINE!BenefitCategory,$B22)</f>
        <v>0</v>
      </c>
      <c r="I22" s="103">
        <f>SUMIFS(DIABETES_TIMELINE!SubscriberPayCoins,DIABETES_TIMELINE!BenefitCategory,$B22)</f>
        <v>0</v>
      </c>
      <c r="J22" s="104">
        <f>SUMIFS(DIABETES_TIMELINE!SubscriberPayNonCov,DIABETES_TIMELINE!BenefitCategory,$B22)+SUMIFS(DIABETES_TIMELINE!SubscriberPayExclusion,DIABETES_TIMELINE!BenefitCategory,$B22)</f>
        <v>0</v>
      </c>
      <c r="K22" s="111"/>
    </row>
    <row r="23" spans="1:11" x14ac:dyDescent="0.25">
      <c r="A23" s="111"/>
      <c r="B23" s="88" t="str">
        <f>BENEFIT_DESIGN!B25</f>
        <v>Medical Supplies</v>
      </c>
      <c r="C23" s="84">
        <f>SUMIFS(DIABETES_TIMELINE!AllowedAmt,DIABETES_TIMELINE!BenefitCategory,$B23)</f>
        <v>1727.9300000000005</v>
      </c>
      <c r="D23" s="85">
        <f t="shared" si="2"/>
        <v>1700</v>
      </c>
      <c r="E23" s="90">
        <f>SUMIFS(DIABETES_TIMELINE!PlanPaymentAmt,DIABETES_TIMELINE!BenefitCategory,$B23)</f>
        <v>1088.5499999999997</v>
      </c>
      <c r="F23" s="90">
        <f t="shared" si="3"/>
        <v>639.38</v>
      </c>
      <c r="G23" s="102">
        <f>SUMIFS(DIABETES_TIMELINE!SubscriberPayDeduc,DIABETES_TIMELINE!BenefitCategory,$B23)</f>
        <v>639.38</v>
      </c>
      <c r="H23" s="103">
        <f>SUMIFS(DIABETES_TIMELINE!SubscriberPayCopay,DIABETES_TIMELINE!BenefitCategory,$B23)</f>
        <v>0</v>
      </c>
      <c r="I23" s="103">
        <f>SUMIFS(DIABETES_TIMELINE!SubscriberPayCoins,DIABETES_TIMELINE!BenefitCategory,$B23)</f>
        <v>0</v>
      </c>
      <c r="J23" s="104">
        <f>SUMIFS(DIABETES_TIMELINE!SubscriberPayNonCov,DIABETES_TIMELINE!BenefitCategory,$B23)+SUMIFS(DIABETES_TIMELINE!SubscriberPayExclusion,DIABETES_TIMELINE!BenefitCategory,$B23)</f>
        <v>0</v>
      </c>
      <c r="K23" s="111"/>
    </row>
    <row r="24" spans="1:11" x14ac:dyDescent="0.25">
      <c r="A24" s="111"/>
      <c r="B24" s="88" t="str">
        <f>BENEFIT_DESIGN!B26</f>
        <v>Over-the-counter Medical Supplies</v>
      </c>
      <c r="C24" s="84">
        <f>SUMIFS(DIABETES_TIMELINE!AllowedAmt,DIABETES_TIMELINE!BenefitCategory,$B24)</f>
        <v>0</v>
      </c>
      <c r="D24" s="85">
        <f t="shared" si="2"/>
        <v>0</v>
      </c>
      <c r="E24" s="90">
        <f>SUMIFS(DIABETES_TIMELINE!PlanPaymentAmt,DIABETES_TIMELINE!BenefitCategory,$B24)</f>
        <v>0</v>
      </c>
      <c r="F24" s="90">
        <f t="shared" si="3"/>
        <v>0</v>
      </c>
      <c r="G24" s="102">
        <f>SUMIFS(DIABETES_TIMELINE!SubscriberPayDeduc,DIABETES_TIMELINE!BenefitCategory,$B24)</f>
        <v>0</v>
      </c>
      <c r="H24" s="103">
        <f>SUMIFS(DIABETES_TIMELINE!SubscriberPayCopay,DIABETES_TIMELINE!BenefitCategory,$B24)</f>
        <v>0</v>
      </c>
      <c r="I24" s="103">
        <f>SUMIFS(DIABETES_TIMELINE!SubscriberPayCoins,DIABETES_TIMELINE!BenefitCategory,$B24)</f>
        <v>0</v>
      </c>
      <c r="J24" s="104">
        <f>SUMIFS(DIABETES_TIMELINE!SubscriberPayNonCov,DIABETES_TIMELINE!BenefitCategory,$B24)+SUMIFS(DIABETES_TIMELINE!SubscriberPayExclusion,DIABETES_TIMELINE!BenefitCategory,$B24)</f>
        <v>0</v>
      </c>
      <c r="K24" s="111"/>
    </row>
    <row r="25" spans="1:11" x14ac:dyDescent="0.25">
      <c r="A25" s="111"/>
      <c r="B25" s="88" t="str">
        <f>BENEFIT_DESIGN!B27</f>
        <v>Other Items &amp; Services</v>
      </c>
      <c r="C25" s="84">
        <f>SUMIFS(DIABETES_TIMELINE!AllowedAmt,DIABETES_TIMELINE!BenefitCategory,$B25)</f>
        <v>0</v>
      </c>
      <c r="D25" s="85">
        <f t="shared" si="2"/>
        <v>0</v>
      </c>
      <c r="E25" s="90">
        <f>SUMIFS(DIABETES_TIMELINE!PlanPaymentAmt,DIABETES_TIMELINE!BenefitCategory,$B25)</f>
        <v>0</v>
      </c>
      <c r="F25" s="90">
        <f t="shared" si="3"/>
        <v>0</v>
      </c>
      <c r="G25" s="102">
        <f>SUMIFS(DIABETES_TIMELINE!SubscriberPayDeduc,DIABETES_TIMELINE!BenefitCategory,$B25)</f>
        <v>0</v>
      </c>
      <c r="H25" s="103">
        <f>SUMIFS(DIABETES_TIMELINE!SubscriberPayCopay,DIABETES_TIMELINE!BenefitCategory,$B25)</f>
        <v>0</v>
      </c>
      <c r="I25" s="103">
        <f>SUMIFS(DIABETES_TIMELINE!SubscriberPayCoins,DIABETES_TIMELINE!BenefitCategory,$B25)</f>
        <v>0</v>
      </c>
      <c r="J25" s="104">
        <f>SUMIFS(DIABETES_TIMELINE!SubscriberPayNonCov,DIABETES_TIMELINE!BenefitCategory,$B25)+SUMIFS(DIABETES_TIMELINE!SubscriberPayExclusion,DIABETES_TIMELINE!BenefitCategory,$B25)</f>
        <v>0</v>
      </c>
      <c r="K25" s="111"/>
    </row>
    <row r="26" spans="1:11" x14ac:dyDescent="0.25">
      <c r="A26" s="111"/>
      <c r="B26" s="96" t="s">
        <v>91</v>
      </c>
      <c r="C26" s="97">
        <f>SUM(C6:C25)</f>
        <v>7389.2700000000013</v>
      </c>
      <c r="D26" s="98"/>
      <c r="E26" s="206">
        <f>IFERROR(IF(BENEFIT_DESIGN_ERRORS!$C$34,"ERROR",SUM(E6:E25)),"ERROR")</f>
        <v>5304.5400000000009</v>
      </c>
      <c r="F26" s="206">
        <f>IFERROR(IF(BENEFIT_DESIGN_ERRORS!$C$34,"ERROR",SUM(F6:F25)),"ERROR")</f>
        <v>2095.2599999999998</v>
      </c>
      <c r="G26" s="207">
        <f>IFERROR(IF(BENEFIT_DESIGN_ERRORS!$C$34,"ERROR",SUM(G6:G25)),"ERROR")</f>
        <v>1100</v>
      </c>
      <c r="H26" s="208">
        <f>IFERROR(IF(BENEFIT_DESIGN_ERRORS!$C$34,"ERROR",SUM(H6:H25)),"ERROR")</f>
        <v>940</v>
      </c>
      <c r="I26" s="208">
        <f>IFERROR(IF(BENEFIT_DESIGN_ERRORS!$C$34,"ERROR",SUM(I6:I25)),"ERROR")</f>
        <v>0</v>
      </c>
      <c r="J26" s="209">
        <f>IFERROR(IF(BENEFIT_DESIGN_ERRORS!$C$34,"ERROR",SUM(J6:J25)),"ERROR")</f>
        <v>55.260000000000019</v>
      </c>
      <c r="K26" s="111"/>
    </row>
    <row r="27" spans="1:11" x14ac:dyDescent="0.25">
      <c r="A27" s="111"/>
      <c r="B27" s="89" t="s">
        <v>190</v>
      </c>
      <c r="C27" s="86"/>
      <c r="D27" s="179">
        <f>SUM(D6:D25)</f>
        <v>7460</v>
      </c>
      <c r="E27" s="177">
        <f>IFERROR(IF(BENEFIT_DESIGN_ERRORS!$C$34,"ERROR",D27-F27),"ERROR")</f>
        <v>5360</v>
      </c>
      <c r="F27" s="177">
        <f>IFERROR(IF(BENEFIT_DESIGN_ERRORS!$C$34,"ERROR",SUM(G27:J27)),"ERROR")</f>
        <v>2100</v>
      </c>
      <c r="G27" s="180">
        <f>IFERROR(IF(OR(BENEFIT_DESIGN_ERRORS!$D$34,BENEFIT_DESIGN_ERRORS!$E$34,BENEFIT_DESIGN_ERRORS!$H$34),"ERROR",MROUND(G26,10)),"ERROR")</f>
        <v>1100</v>
      </c>
      <c r="H27" s="181">
        <f>IFERROR(IF(BENEFIT_DESIGN_ERRORS!$I$34,"ERROR",MROUND(H26,10)),"ERROR")</f>
        <v>940</v>
      </c>
      <c r="I27" s="181">
        <f>IFERROR(IF(BENEFIT_DESIGN_ERRORS!$J$34,"ERROR",MROUND(I26,10)),"ERROR")</f>
        <v>0</v>
      </c>
      <c r="J27" s="178">
        <f>IFERROR(IF(OR(BENEFIT_DESIGN_ERRORS!$K$34,BENEFIT_DESIGN_ERRORS!$L$34,BENEFIT_DESIGN_ERRORS!$M$34),"ERROR",MROUND(J26,10)),"ERROR")</f>
        <v>60</v>
      </c>
      <c r="K27" s="111"/>
    </row>
    <row r="28" spans="1:11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160</vt:i4>
      </vt:variant>
    </vt:vector>
  </HeadingPairs>
  <TitlesOfParts>
    <vt:vector size="180" baseType="lpstr">
      <vt:lpstr>REVISION_HISTORY</vt:lpstr>
      <vt:lpstr>WELCOME</vt:lpstr>
      <vt:lpstr>MULTIPLE_PLAN_MODE</vt:lpstr>
      <vt:lpstr>BENEFIT_DESIGN</vt:lpstr>
      <vt:lpstr>BENEFIT_DESIGN_ERRORS</vt:lpstr>
      <vt:lpstr>BENEFIT_PARAMETERS</vt:lpstr>
      <vt:lpstr>RESULTS_SUMMARY</vt:lpstr>
      <vt:lpstr>EXAMPLE_SUMMARY</vt:lpstr>
      <vt:lpstr>DIABETES_SUMMARY</vt:lpstr>
      <vt:lpstr>DIABETES_TIMELINE</vt:lpstr>
      <vt:lpstr>DIABETES_LINE_ITEM</vt:lpstr>
      <vt:lpstr>MATERNITY_SUMMARY</vt:lpstr>
      <vt:lpstr>MATERNITY_TIMELINE</vt:lpstr>
      <vt:lpstr>MATERNITY_LINE_ITEM</vt:lpstr>
      <vt:lpstr>FRACTURE_SUMMARY</vt:lpstr>
      <vt:lpstr>FRACTURE_TIMELINE</vt:lpstr>
      <vt:lpstr>FRACTURE_LINE_ITEM</vt:lpstr>
      <vt:lpstr>PLAN_INPUT_DATA</vt:lpstr>
      <vt:lpstr>PLAN_OUTPUT_DATA</vt:lpstr>
      <vt:lpstr>TimelineDocumentation</vt:lpstr>
      <vt:lpstr>DIABETES_TIMELINE!AllowedAmt</vt:lpstr>
      <vt:lpstr>FRACTURE_TIMELINE!AllowedAmt</vt:lpstr>
      <vt:lpstr>MATERNITY_TIMELINE!AllowedAmt</vt:lpstr>
      <vt:lpstr>DIABETES_TIMELINE!AllowedAmtAfterCopayCoins</vt:lpstr>
      <vt:lpstr>FRACTURE_TIMELINE!AllowedAmtAfterCopayCoins</vt:lpstr>
      <vt:lpstr>MATERNITY_TIMELINE!AllowedAmtAfterCopayCoins</vt:lpstr>
      <vt:lpstr>DIABETES_TIMELINE!AmountSubjectToOPL</vt:lpstr>
      <vt:lpstr>FRACTURE_TIMELINE!AmountSubjectToOPL</vt:lpstr>
      <vt:lpstr>MATERNITY_TIMELINE!AmountSubjectToOPL</vt:lpstr>
      <vt:lpstr>DIABETES_TIMELINE!AmtExceedAnnualLimit</vt:lpstr>
      <vt:lpstr>FRACTURE_TIMELINE!AmtExceedAnnualLimit</vt:lpstr>
      <vt:lpstr>MATERNITY_TIMELINE!AmtExceedAnnualLimit</vt:lpstr>
      <vt:lpstr>DIABETES_TIMELINE!AmtExceedMonthLimit</vt:lpstr>
      <vt:lpstr>FRACTURE_TIMELINE!AmtExceedMonthLimit</vt:lpstr>
      <vt:lpstr>MATERNITY_TIMELINE!AmtExceedMonthLimit</vt:lpstr>
      <vt:lpstr>DIABETES_TIMELINE!AnnualLimit</vt:lpstr>
      <vt:lpstr>FRACTURE_TIMELINE!AnnualLimit</vt:lpstr>
      <vt:lpstr>MATERNITY_TIMELINE!AnnualLimit</vt:lpstr>
      <vt:lpstr>DIABETES_TIMELINE!BenefitCategory</vt:lpstr>
      <vt:lpstr>FRACTURE_TIMELINE!BenefitCategory</vt:lpstr>
      <vt:lpstr>MATERNITY_TIMELINE!BenefitCategory</vt:lpstr>
      <vt:lpstr>BenefitCategoryList</vt:lpstr>
      <vt:lpstr>BenefitCoins</vt:lpstr>
      <vt:lpstr>BenefitCopay</vt:lpstr>
      <vt:lpstr>BenefitCostSharing</vt:lpstr>
      <vt:lpstr>BenefitDeductible</vt:lpstr>
      <vt:lpstr>DIABETES_TIMELINE!BenefitDeductiblePayment</vt:lpstr>
      <vt:lpstr>FRACTURE_TIMELINE!BenefitDeductiblePayment</vt:lpstr>
      <vt:lpstr>MATERNITY_TIMELINE!BenefitDeductiblePayment</vt:lpstr>
      <vt:lpstr>DIABETES_TIMELINE!BenefitDedutibleApplies</vt:lpstr>
      <vt:lpstr>FRACTURE_TIMELINE!BenefitDedutibleApplies</vt:lpstr>
      <vt:lpstr>MATERNITY_TIMELINE!BenefitDedutibleApplies</vt:lpstr>
      <vt:lpstr>BenefitDesignTable</vt:lpstr>
      <vt:lpstr>BenefitLimitAnnual</vt:lpstr>
      <vt:lpstr>BenefitLimithMonth</vt:lpstr>
      <vt:lpstr>BenefitOOPLimitApplies</vt:lpstr>
      <vt:lpstr>DIABETES_TIMELINE!ClaimDate</vt:lpstr>
      <vt:lpstr>FRACTURE_TIMELINE!ClaimDate</vt:lpstr>
      <vt:lpstr>MATERNITY_TIMELINE!ClaimDate</vt:lpstr>
      <vt:lpstr>DIABETES_TIMELINE!ClaimMonth</vt:lpstr>
      <vt:lpstr>FRACTURE_TIMELINE!ClaimMonth</vt:lpstr>
      <vt:lpstr>MATERNITY_TIMELINE!ClaimMonth</vt:lpstr>
      <vt:lpstr>DIABETES_TIMELINE!ClaimNumber</vt:lpstr>
      <vt:lpstr>FRACTURE_TIMELINE!ClaimNumber</vt:lpstr>
      <vt:lpstr>MATERNITY_TIMELINE!ClaimNumber</vt:lpstr>
      <vt:lpstr>DIABETES_TIMELINE!CoInsAmount</vt:lpstr>
      <vt:lpstr>FRACTURE_TIMELINE!CoInsAmount</vt:lpstr>
      <vt:lpstr>MATERNITY_TIMELINE!CoInsAmount</vt:lpstr>
      <vt:lpstr>DIABETES_TIMELINE!CoInsRate</vt:lpstr>
      <vt:lpstr>FRACTURE_TIMELINE!CoInsRate</vt:lpstr>
      <vt:lpstr>MATERNITY_TIMELINE!CoInsRate</vt:lpstr>
      <vt:lpstr>DIABETES_TIMELINE!CoPayAmount</vt:lpstr>
      <vt:lpstr>FRACTURE_TIMELINE!CoPayAmount</vt:lpstr>
      <vt:lpstr>MATERNITY_TIMELINE!CoPayAmount</vt:lpstr>
      <vt:lpstr>CostShareType</vt:lpstr>
      <vt:lpstr>DIABETES_TIMELINE!CostSharingType</vt:lpstr>
      <vt:lpstr>FRACTURE_TIMELINE!CostSharingType</vt:lpstr>
      <vt:lpstr>MATERNITY_TIMELINE!CostSharingType</vt:lpstr>
      <vt:lpstr>DIABETES_TIMELINE!CoveredAmt</vt:lpstr>
      <vt:lpstr>FRACTURE_TIMELINE!CoveredAmt</vt:lpstr>
      <vt:lpstr>MATERNITY_TIMELINE!CoveredAmt</vt:lpstr>
      <vt:lpstr>DIABETES_TIMELINE!CoveredAmtAfterDeductibles</vt:lpstr>
      <vt:lpstr>FRACTURE_TIMELINE!CoveredAmtAfterDeductibles</vt:lpstr>
      <vt:lpstr>MATERNITY_TIMELINE!CoveredAmtAfterDeductibles</vt:lpstr>
      <vt:lpstr>DIABETES_TIMELINE!DeductibleCApplies</vt:lpstr>
      <vt:lpstr>FRACTURE_TIMELINE!DeductibleCApplies</vt:lpstr>
      <vt:lpstr>MATERNITY_TIMELINE!DeductibleCApplies</vt:lpstr>
      <vt:lpstr>DIABETES_TIMELINE!DeductibleCPayment</vt:lpstr>
      <vt:lpstr>FRACTURE_TIMELINE!DeductibleCPayment</vt:lpstr>
      <vt:lpstr>MATERNITY_TIMELINE!DeductibleCPayment</vt:lpstr>
      <vt:lpstr>DIABETES_TIMELINE!DeductibleDApplies</vt:lpstr>
      <vt:lpstr>FRACTURE_TIMELINE!DeductibleDApplies</vt:lpstr>
      <vt:lpstr>MATERNITY_TIMELINE!DeductibleDApplies</vt:lpstr>
      <vt:lpstr>DIABETES_TIMELINE!DeductibleDPayment</vt:lpstr>
      <vt:lpstr>FRACTURE_TIMELINE!DeductibleDPayment</vt:lpstr>
      <vt:lpstr>MATERNITY_TIMELINE!DeductibleDPayment</vt:lpstr>
      <vt:lpstr>DiabetesFeeSchedule</vt:lpstr>
      <vt:lpstr>FractureFeeSchedule</vt:lpstr>
      <vt:lpstr>MaternityFeeSchedule</vt:lpstr>
      <vt:lpstr>DIABETES_TIMELINE!MonthLimit</vt:lpstr>
      <vt:lpstr>FRACTURE_TIMELINE!MonthLimit</vt:lpstr>
      <vt:lpstr>MATERNITY_TIMELINE!MonthLimit</vt:lpstr>
      <vt:lpstr>DIABETES_TIMELINE!NotCoveredAmt</vt:lpstr>
      <vt:lpstr>FRACTURE_TIMELINE!NotCoveredAmt</vt:lpstr>
      <vt:lpstr>MATERNITY_TIMELINE!NotCoveredAmt</vt:lpstr>
      <vt:lpstr>DIABETES_TIMELINE!OPLApplies</vt:lpstr>
      <vt:lpstr>FRACTURE_TIMELINE!OPLApplies</vt:lpstr>
      <vt:lpstr>MATERNITY_TIMELINE!OPLApplies</vt:lpstr>
      <vt:lpstr>OPLimit</vt:lpstr>
      <vt:lpstr>OptDeductibleC</vt:lpstr>
      <vt:lpstr>OptDeductibleD</vt:lpstr>
      <vt:lpstr>DIABETES_TIMELINE!PaymentTowardDeductibles</vt:lpstr>
      <vt:lpstr>FRACTURE_TIMELINE!PaymentTowardDeductibles</vt:lpstr>
      <vt:lpstr>MATERNITY_TIMELINE!PaymentTowardDeductibles</vt:lpstr>
      <vt:lpstr>PlanBenefitParameters</vt:lpstr>
      <vt:lpstr>PlanDeductible</vt:lpstr>
      <vt:lpstr>DIABETES_TIMELINE!PlanDeductibleApplies</vt:lpstr>
      <vt:lpstr>FRACTURE_TIMELINE!PlanDeductibleApplies</vt:lpstr>
      <vt:lpstr>MATERNITY_TIMELINE!PlanDeductibleApplies</vt:lpstr>
      <vt:lpstr>DIABETES_TIMELINE!PlanDeductiblePayment</vt:lpstr>
      <vt:lpstr>FRACTURE_TIMELINE!PlanDeductiblePayment</vt:lpstr>
      <vt:lpstr>MATERNITY_TIMELINE!PlanDeductiblePayment</vt:lpstr>
      <vt:lpstr>DIABETES_TIMELINE!PlanPaymentAmt</vt:lpstr>
      <vt:lpstr>FRACTURE_TIMELINE!PlanPaymentAmt</vt:lpstr>
      <vt:lpstr>MATERNITY_TIMELINE!PlanPaymentAmt</vt:lpstr>
      <vt:lpstr>DIABETES_TIMELINE!PriorUseAnnual</vt:lpstr>
      <vt:lpstr>FRACTURE_TIMELINE!PriorUseAnnual</vt:lpstr>
      <vt:lpstr>MATERNITY_TIMELINE!PriorUseAnnual</vt:lpstr>
      <vt:lpstr>DIABETES_TIMELINE!PriorUseMonth</vt:lpstr>
      <vt:lpstr>FRACTURE_TIMELINE!PriorUseMonth</vt:lpstr>
      <vt:lpstr>MATERNITY_TIMELINE!PriorUseMonth</vt:lpstr>
      <vt:lpstr>DIABETES_TIMELINE!RemainingBenefitDeduc</vt:lpstr>
      <vt:lpstr>FRACTURE_TIMELINE!RemainingBenefitDeduc</vt:lpstr>
      <vt:lpstr>MATERNITY_TIMELINE!RemainingBenefitDeduc</vt:lpstr>
      <vt:lpstr>DIABETES_TIMELINE!RemainingDeductibleC</vt:lpstr>
      <vt:lpstr>FRACTURE_TIMELINE!RemainingDeductibleC</vt:lpstr>
      <vt:lpstr>MATERNITY_TIMELINE!RemainingDeductibleC</vt:lpstr>
      <vt:lpstr>DIABETES_TIMELINE!RemainingDeductibleD</vt:lpstr>
      <vt:lpstr>FRACTURE_TIMELINE!RemainingDeductibleD</vt:lpstr>
      <vt:lpstr>MATERNITY_TIMELINE!RemainingDeductibleD</vt:lpstr>
      <vt:lpstr>DIABETES_TIMELINE!RemainingOPL</vt:lpstr>
      <vt:lpstr>FRACTURE_TIMELINE!RemainingOPL</vt:lpstr>
      <vt:lpstr>MATERNITY_TIMELINE!RemainingOPL</vt:lpstr>
      <vt:lpstr>DIABETES_TIMELINE!RemainingPlanDeduc</vt:lpstr>
      <vt:lpstr>FRACTURE_TIMELINE!RemainingPlanDeduc</vt:lpstr>
      <vt:lpstr>MATERNITY_TIMELINE!RemainingPlanDeduc</vt:lpstr>
      <vt:lpstr>DIABETES_TIMELINE!RemainingRxDeduc</vt:lpstr>
      <vt:lpstr>FRACTURE_TIMELINE!RemainingRxDeduc</vt:lpstr>
      <vt:lpstr>MATERNITY_TIMELINE!RemainingRxDeduc</vt:lpstr>
      <vt:lpstr>RxDeductible</vt:lpstr>
      <vt:lpstr>DIABETES_TIMELINE!RxDeductibleApplies</vt:lpstr>
      <vt:lpstr>FRACTURE_TIMELINE!RxDeductibleApplies</vt:lpstr>
      <vt:lpstr>MATERNITY_TIMELINE!RxDeductibleApplies</vt:lpstr>
      <vt:lpstr>DIABETES_TIMELINE!RxDeductiblePayment</vt:lpstr>
      <vt:lpstr>FRACTURE_TIMELINE!RxDeductiblePayment</vt:lpstr>
      <vt:lpstr>MATERNITY_TIMELINE!RxDeductiblePayment</vt:lpstr>
      <vt:lpstr>DIABETES_TIMELINE!ServiceCode</vt:lpstr>
      <vt:lpstr>FRACTURE_TIMELINE!ServiceCode</vt:lpstr>
      <vt:lpstr>MATERNITY_TIMELINE!ServiceCode</vt:lpstr>
      <vt:lpstr>DIABETES_TIMELINE!SubscriberPayCoins</vt:lpstr>
      <vt:lpstr>FRACTURE_TIMELINE!SubscriberPayCoins</vt:lpstr>
      <vt:lpstr>MATERNITY_TIMELINE!SubscriberPayCoins</vt:lpstr>
      <vt:lpstr>DIABETES_TIMELINE!SubscriberPayCopay</vt:lpstr>
      <vt:lpstr>FRACTURE_TIMELINE!SubscriberPayCopay</vt:lpstr>
      <vt:lpstr>MATERNITY_TIMELINE!SubscriberPayCopay</vt:lpstr>
      <vt:lpstr>DIABETES_TIMELINE!SubscriberPayDeduc</vt:lpstr>
      <vt:lpstr>FRACTURE_TIMELINE!SubscriberPayDeduc</vt:lpstr>
      <vt:lpstr>MATERNITY_TIMELINE!SubscriberPayDeduc</vt:lpstr>
      <vt:lpstr>DIABETES_TIMELINE!SubscriberPayExclusion</vt:lpstr>
      <vt:lpstr>FRACTURE_TIMELINE!SubscriberPayExclusion</vt:lpstr>
      <vt:lpstr>MATERNITY_TIMELINE!SubscriberPayExclusion</vt:lpstr>
      <vt:lpstr>DIABETES_TIMELINE!SubscriberPaymentAfterOPL</vt:lpstr>
      <vt:lpstr>FRACTURE_TIMELINE!SubscriberPaymentAfterOPL</vt:lpstr>
      <vt:lpstr>MATERNITY_TIMELINE!SubscriberPaymentAfterOPL</vt:lpstr>
      <vt:lpstr>DIABETES_TIMELINE!SubscriberPaymentBeforeOPL</vt:lpstr>
      <vt:lpstr>FRACTURE_TIMELINE!SubscriberPaymentBeforeOPL</vt:lpstr>
      <vt:lpstr>MATERNITY_TIMELINE!SubscriberPaymentBeforeOPL</vt:lpstr>
      <vt:lpstr>DIABETES_TIMELINE!SubscriberPayNonCov</vt:lpstr>
      <vt:lpstr>FRACTURE_TIMELINE!SubscriberPayNonCov</vt:lpstr>
      <vt:lpstr>MATERNITY_TIMELINE!SubscriberPayNonCov</vt:lpstr>
    </vt:vector>
  </TitlesOfParts>
  <Company>RTI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Bachofer</dc:creator>
  <cp:lastModifiedBy>Elizabeth Schumacher</cp:lastModifiedBy>
  <cp:lastPrinted>2015-02-25T19:11:31Z</cp:lastPrinted>
  <dcterms:created xsi:type="dcterms:W3CDTF">2015-02-25T14:47:23Z</dcterms:created>
  <dcterms:modified xsi:type="dcterms:W3CDTF">2016-04-04T20:09:46Z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