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New ICRs\"/>
    </mc:Choice>
  </mc:AlternateContent>
  <bookViews>
    <workbookView xWindow="0" yWindow="0" windowWidth="19200" windowHeight="7965"/>
  </bookViews>
  <sheets>
    <sheet name="Table 1" sheetId="1" r:id="rId1"/>
    <sheet name="Table 2" sheetId="2" r:id="rId2"/>
    <sheet name="CapitalStartup Costs" sheetId="3" r:id="rId3"/>
    <sheet name="# Responses" sheetId="4" r:id="rId4"/>
    <sheet name="Count of Respondents" sheetId="5" r:id="rId5"/>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7" i="5" l="1"/>
  <c r="E14" i="2" l="1"/>
  <c r="E13" i="2"/>
  <c r="E10" i="2"/>
  <c r="E9" i="2"/>
  <c r="C4" i="5"/>
  <c r="C7" i="5" s="1"/>
  <c r="E44" i="1" s="1"/>
  <c r="E47" i="1"/>
  <c r="E7" i="5"/>
  <c r="D7" i="5"/>
  <c r="B7" i="5"/>
  <c r="E18" i="1" s="1"/>
  <c r="E8" i="2" s="1"/>
  <c r="B24" i="5"/>
  <c r="C23" i="5"/>
  <c r="C21" i="5"/>
  <c r="C19" i="5"/>
  <c r="E19" i="1" l="1"/>
  <c r="E11" i="2" s="1"/>
  <c r="E31" i="1"/>
  <c r="E40" i="1"/>
  <c r="E42" i="1"/>
  <c r="E6" i="1"/>
  <c r="E43" i="1"/>
  <c r="E16" i="1"/>
  <c r="E6" i="2" s="1"/>
  <c r="E17" i="1"/>
  <c r="E7" i="2" s="1"/>
  <c r="E46" i="1"/>
  <c r="C24" i="5"/>
  <c r="G3" i="3" l="1"/>
  <c r="C6" i="3"/>
  <c r="C7" i="3"/>
  <c r="C8" i="3"/>
  <c r="B7" i="3" l="1"/>
  <c r="D7" i="3" s="1"/>
  <c r="B6" i="3"/>
  <c r="D6" i="3" s="1"/>
  <c r="D9" i="3" s="1"/>
  <c r="D10" i="3" s="1"/>
  <c r="I51" i="1" s="1"/>
  <c r="B8" i="3"/>
  <c r="D8" i="3" s="1"/>
  <c r="C9" i="4"/>
  <c r="C13" i="4"/>
  <c r="C12" i="4"/>
  <c r="C11" i="4"/>
  <c r="C10" i="4"/>
  <c r="C8" i="4"/>
  <c r="C7" i="4"/>
  <c r="C6" i="4"/>
  <c r="C5" i="4"/>
  <c r="B13" i="4"/>
  <c r="B12" i="4"/>
  <c r="B11" i="4"/>
  <c r="B10" i="4"/>
  <c r="E10" i="4" s="1"/>
  <c r="B9" i="4"/>
  <c r="E9" i="4" s="1"/>
  <c r="B8" i="4"/>
  <c r="B7" i="4"/>
  <c r="B6" i="4"/>
  <c r="B5" i="4"/>
  <c r="E5" i="4" s="1"/>
  <c r="E8" i="4" l="1"/>
  <c r="E7" i="4"/>
  <c r="E12" i="4"/>
  <c r="E6" i="4"/>
  <c r="E11" i="4"/>
  <c r="E13" i="4"/>
  <c r="E14" i="4" l="1"/>
  <c r="D14" i="2"/>
  <c r="F14" i="2" s="1"/>
  <c r="H14" i="2" s="1"/>
  <c r="D13" i="2"/>
  <c r="F13" i="2" s="1"/>
  <c r="D11" i="2"/>
  <c r="F11" i="2" s="1"/>
  <c r="D10" i="2"/>
  <c r="F10" i="2" s="1"/>
  <c r="G10" i="2" s="1"/>
  <c r="D9" i="2"/>
  <c r="F9" i="2" s="1"/>
  <c r="D8" i="2"/>
  <c r="F8" i="2" s="1"/>
  <c r="D7" i="2"/>
  <c r="F7" i="2" s="1"/>
  <c r="D6" i="2"/>
  <c r="F6" i="2" s="1"/>
  <c r="D4" i="2"/>
  <c r="F4" i="2" s="1"/>
  <c r="H4" i="2" s="1"/>
  <c r="D3" i="2"/>
  <c r="F3" i="2" s="1"/>
  <c r="M11" i="2"/>
  <c r="L6" i="2" s="1"/>
  <c r="M10" i="2"/>
  <c r="L5" i="2" s="1"/>
  <c r="M9" i="2"/>
  <c r="L4" i="2" s="1"/>
  <c r="K16" i="1"/>
  <c r="M9" i="1"/>
  <c r="L4" i="1" s="1"/>
  <c r="M10" i="1"/>
  <c r="L3" i="1" s="1"/>
  <c r="M11" i="1"/>
  <c r="L5" i="1" s="1"/>
  <c r="F25" i="1"/>
  <c r="F19" i="1"/>
  <c r="G19" i="1" s="1"/>
  <c r="D47" i="1"/>
  <c r="F47" i="1" s="1"/>
  <c r="D46" i="1"/>
  <c r="F46" i="1" s="1"/>
  <c r="D44" i="1"/>
  <c r="F44" i="1" s="1"/>
  <c r="H44" i="1" s="1"/>
  <c r="D43" i="1"/>
  <c r="F43" i="1" s="1"/>
  <c r="H43" i="1" s="1"/>
  <c r="D42" i="1"/>
  <c r="F42" i="1" s="1"/>
  <c r="D40" i="1"/>
  <c r="F40" i="1" s="1"/>
  <c r="H40" i="1" s="1"/>
  <c r="D39" i="1"/>
  <c r="F39" i="1" s="1"/>
  <c r="H39" i="1" s="1"/>
  <c r="D38" i="1"/>
  <c r="F38" i="1" s="1"/>
  <c r="H38" i="1" s="1"/>
  <c r="D37" i="1"/>
  <c r="F37" i="1" s="1"/>
  <c r="D36" i="1"/>
  <c r="F36" i="1" s="1"/>
  <c r="D35" i="1"/>
  <c r="F35" i="1" s="1"/>
  <c r="H35" i="1" s="1"/>
  <c r="D34" i="1"/>
  <c r="F34" i="1" s="1"/>
  <c r="H34" i="1" s="1"/>
  <c r="D33" i="1"/>
  <c r="F33" i="1" s="1"/>
  <c r="H33" i="1" s="1"/>
  <c r="D31" i="1"/>
  <c r="F31" i="1" s="1"/>
  <c r="H31" i="1" s="1"/>
  <c r="D25" i="1"/>
  <c r="D24" i="1"/>
  <c r="F24" i="1" s="1"/>
  <c r="D22" i="1"/>
  <c r="F22" i="1" s="1"/>
  <c r="D21" i="1"/>
  <c r="F21" i="1" s="1"/>
  <c r="D20" i="1"/>
  <c r="F20" i="1" s="1"/>
  <c r="D19" i="1"/>
  <c r="D18" i="1"/>
  <c r="F18" i="1" s="1"/>
  <c r="D17" i="1"/>
  <c r="F17" i="1" s="1"/>
  <c r="G17" i="1" s="1"/>
  <c r="D16" i="1"/>
  <c r="F16" i="1" s="1"/>
  <c r="D11" i="1"/>
  <c r="F11" i="1" s="1"/>
  <c r="D10" i="1"/>
  <c r="F10" i="1" s="1"/>
  <c r="D9" i="1"/>
  <c r="F9" i="1" s="1"/>
  <c r="D8" i="1"/>
  <c r="F8" i="1" s="1"/>
  <c r="D6" i="1"/>
  <c r="F6" i="1" s="1"/>
  <c r="G6" i="1" s="1"/>
  <c r="H11" i="2" l="1"/>
  <c r="G11" i="2"/>
  <c r="H3" i="2"/>
  <c r="G3" i="2"/>
  <c r="I3" i="2" s="1"/>
  <c r="H13" i="2"/>
  <c r="G13" i="2"/>
  <c r="I13" i="2" s="1"/>
  <c r="G6" i="2"/>
  <c r="H6" i="2"/>
  <c r="G7" i="2"/>
  <c r="H7" i="2"/>
  <c r="H8" i="2"/>
  <c r="G8" i="2"/>
  <c r="H9" i="2"/>
  <c r="G9" i="2"/>
  <c r="I9" i="2" s="1"/>
  <c r="H10" i="2"/>
  <c r="I10" i="2" s="1"/>
  <c r="G4" i="2"/>
  <c r="G14" i="2"/>
  <c r="I14" i="2" s="1"/>
  <c r="H42" i="1"/>
  <c r="I42" i="1" s="1"/>
  <c r="G8" i="1"/>
  <c r="H8" i="1"/>
  <c r="H21" i="1"/>
  <c r="G21" i="1"/>
  <c r="H46" i="1"/>
  <c r="I46" i="1"/>
  <c r="H22" i="1"/>
  <c r="G22" i="1"/>
  <c r="I22" i="1" s="1"/>
  <c r="G18" i="1"/>
  <c r="H18" i="1"/>
  <c r="I18" i="1" s="1"/>
  <c r="H20" i="1"/>
  <c r="G20" i="1"/>
  <c r="H9" i="1"/>
  <c r="G9" i="1"/>
  <c r="H36" i="1"/>
  <c r="G10" i="1"/>
  <c r="H10" i="1"/>
  <c r="H37" i="1"/>
  <c r="I37" i="1" s="1"/>
  <c r="H47" i="1"/>
  <c r="I47" i="1" s="1"/>
  <c r="G11" i="1"/>
  <c r="H11" i="1"/>
  <c r="G24" i="1"/>
  <c r="H24" i="1"/>
  <c r="H16" i="1"/>
  <c r="H25" i="1"/>
  <c r="H17" i="1"/>
  <c r="I17" i="1" s="1"/>
  <c r="G16" i="1"/>
  <c r="G25" i="1"/>
  <c r="H6" i="1"/>
  <c r="I6" i="1" s="1"/>
  <c r="H19" i="1"/>
  <c r="I19" i="1" s="1"/>
  <c r="I43" i="1"/>
  <c r="I40" i="1"/>
  <c r="I34" i="1"/>
  <c r="I33" i="1"/>
  <c r="I11" i="1"/>
  <c r="I35" i="1"/>
  <c r="I44" i="1"/>
  <c r="I39" i="1"/>
  <c r="I38" i="1"/>
  <c r="I31" i="1"/>
  <c r="F15" i="2" l="1"/>
  <c r="I25" i="1"/>
  <c r="I20" i="1"/>
  <c r="I21" i="1"/>
  <c r="I10" i="1"/>
  <c r="I24" i="1"/>
  <c r="F49" i="1"/>
  <c r="F26" i="1"/>
  <c r="I11" i="2"/>
  <c r="I8" i="2"/>
  <c r="I16" i="1"/>
  <c r="I9" i="1"/>
  <c r="I6" i="2"/>
  <c r="I7" i="2"/>
  <c r="I4" i="2"/>
  <c r="I36" i="1"/>
  <c r="I49" i="1" s="1"/>
  <c r="I15" i="2" l="1"/>
  <c r="I17" i="2" s="1"/>
  <c r="F50" i="1"/>
  <c r="K15" i="1" s="1"/>
  <c r="K17" i="1" s="1"/>
  <c r="I26" i="1"/>
  <c r="I50" i="1" s="1"/>
  <c r="I52" i="1" s="1"/>
</calcChain>
</file>

<file path=xl/comments1.xml><?xml version="1.0" encoding="utf-8"?>
<comments xmlns="http://schemas.openxmlformats.org/spreadsheetml/2006/main">
  <authors>
    <author>Tracy Curtis</author>
  </authors>
  <commentList>
    <comment ref="D6" authorId="0" shapeId="0">
      <text>
        <r>
          <rPr>
            <b/>
            <sz val="9"/>
            <color indexed="81"/>
            <rFont val="Tahoma"/>
            <family val="2"/>
          </rPr>
          <t>Tracy Curtis:</t>
        </r>
        <r>
          <rPr>
            <sz val="9"/>
            <color indexed="81"/>
            <rFont val="Tahoma"/>
            <family val="2"/>
          </rPr>
          <t xml:space="preserve">
I updated these formulas to annualize individual tests costs so that this translates to template and going forward.</t>
        </r>
      </text>
    </comment>
  </commentList>
</comments>
</file>

<file path=xl/sharedStrings.xml><?xml version="1.0" encoding="utf-8"?>
<sst xmlns="http://schemas.openxmlformats.org/spreadsheetml/2006/main" count="254" uniqueCount="219">
  <si>
    <t>Burden item</t>
  </si>
  <si>
    <t>(A)</t>
  </si>
  <si>
    <t>(B)</t>
  </si>
  <si>
    <t>(C)</t>
  </si>
  <si>
    <t>(D)</t>
  </si>
  <si>
    <t>(E)</t>
  </si>
  <si>
    <t>1.  Applications</t>
  </si>
  <si>
    <t>N/A</t>
  </si>
  <si>
    <t>2.  Surveys and studies</t>
  </si>
  <si>
    <t>3.  Reporting requirements</t>
  </si>
  <si>
    <t>Prepare for initial/periodic performance test</t>
  </si>
  <si>
    <t>Attend initial/periodic performance test</t>
  </si>
  <si>
    <t>Prepare for retest</t>
  </si>
  <si>
    <t>Attend retest</t>
  </si>
  <si>
    <t>C. Create information</t>
  </si>
  <si>
    <t>See 3B</t>
  </si>
  <si>
    <t>D. Gather existing information</t>
  </si>
  <si>
    <t>Notification of construction/reconstruction</t>
  </si>
  <si>
    <t>Notification of actual startup</t>
  </si>
  <si>
    <t>Notification of applicability of standard</t>
  </si>
  <si>
    <t>Notification of compliance status</t>
  </si>
  <si>
    <t>Notification of performance test/retest</t>
  </si>
  <si>
    <t>Notification of performance evaluation</t>
  </si>
  <si>
    <t>Subtotal for Reporting Requirements</t>
  </si>
  <si>
    <t>4.  Recordkeeping requirements</t>
  </si>
  <si>
    <t xml:space="preserve">A. Read instructions </t>
  </si>
  <si>
    <t>See 3A</t>
  </si>
  <si>
    <t>B. Plan activities</t>
  </si>
  <si>
    <t>C. Implement activities</t>
  </si>
  <si>
    <t>E. Time to enter information</t>
  </si>
  <si>
    <t>Record of compliant monitoring parameter ranges</t>
  </si>
  <si>
    <t>F. Time to train personnel</t>
  </si>
  <si>
    <t>H. Time to transmit or disclose information</t>
  </si>
  <si>
    <t>I. Time for audits</t>
  </si>
  <si>
    <t>Subtotal for Recordkeeping Requirements</t>
  </si>
  <si>
    <t>Activity</t>
  </si>
  <si>
    <t>3. Report review</t>
  </si>
  <si>
    <t xml:space="preserve">Review of excess emissions report </t>
  </si>
  <si>
    <t>Capital/Startup Costs</t>
  </si>
  <si>
    <t>Cost Item</t>
  </si>
  <si>
    <t>Capital/Startup Cost for One Respondent</t>
  </si>
  <si>
    <t>Number of Respondents</t>
  </si>
  <si>
    <t>(B x C)</t>
  </si>
  <si>
    <t>Performance tests:</t>
  </si>
  <si>
    <t>Method 5 for PM</t>
  </si>
  <si>
    <t>Method 25A for THC</t>
  </si>
  <si>
    <t>Method 308 for methanol</t>
  </si>
  <si>
    <r>
      <t xml:space="preserve">Retests </t>
    </r>
    <r>
      <rPr>
        <vertAlign val="superscript"/>
        <sz val="11"/>
        <color theme="1"/>
        <rFont val="Times New Roman"/>
        <family val="1"/>
      </rPr>
      <t>a</t>
    </r>
  </si>
  <si>
    <t>(A) 
Person hours per occurrence</t>
  </si>
  <si>
    <t>(B) 
No. of occurrences per respondent per year</t>
  </si>
  <si>
    <t>(C) 
Person hours per respondent per year (C=AxB)</t>
  </si>
  <si>
    <t>(E) 
Technical person hr/yr (E=CxD)</t>
  </si>
  <si>
    <t>(F)
Management person hr/yr (Ex0.05)</t>
  </si>
  <si>
    <t>(G) 
Clerical person hr/yr 
(Ex0.1)</t>
  </si>
  <si>
    <t>Tech</t>
  </si>
  <si>
    <t>Mgmt</t>
  </si>
  <si>
    <t>Cler</t>
  </si>
  <si>
    <t>Labor Type</t>
  </si>
  <si>
    <r>
      <t>Total Compensation ($/hr)</t>
    </r>
    <r>
      <rPr>
        <sz val="10"/>
        <rFont val="Times New Roman"/>
        <family val="1"/>
      </rPr>
      <t xml:space="preserve"> </t>
    </r>
  </si>
  <si>
    <t>Mgmt.</t>
  </si>
  <si>
    <t>Tech.</t>
  </si>
  <si>
    <t>Cler.</t>
  </si>
  <si>
    <t>Hours per Response</t>
  </si>
  <si>
    <t># hours</t>
  </si>
  <si>
    <t># responses</t>
  </si>
  <si>
    <t>hr/resp</t>
  </si>
  <si>
    <t>Total Annual Responses</t>
  </si>
  <si>
    <r>
      <t xml:space="preserve">Information Collection Activity </t>
    </r>
    <r>
      <rPr>
        <b/>
        <vertAlign val="superscript"/>
        <sz val="11"/>
        <color rgb="FF000000"/>
        <rFont val="Times New Roman"/>
        <family val="1"/>
      </rPr>
      <t>a</t>
    </r>
  </si>
  <si>
    <t>Number of Responses</t>
  </si>
  <si>
    <t>Number of Existing Respondents That Keep Records But Do Not Submit Reports</t>
  </si>
  <si>
    <t>E=(BxC)+D</t>
  </si>
  <si>
    <t>Notification of construction/ reconstruction</t>
  </si>
  <si>
    <t>Notification of performance test/ retest</t>
  </si>
  <si>
    <t>Report of performance test/retest</t>
  </si>
  <si>
    <t>Semiannual report of monitoring exceedances and periods of noncompliance</t>
  </si>
  <si>
    <t>Semiannual report of no exceedances</t>
  </si>
  <si>
    <t>Total</t>
  </si>
  <si>
    <t>Table 1: Annual Respondent Burden and Cost – NESHAP for Chemical Recovery Combustion Sources at Kraft, Soda, Sulfite, and Stand-Alone Semichemical Pulp Mills (40 CFR Part 63, Subpart MM) (Renewal)</t>
  </si>
  <si>
    <t>(A) 
EPA person- hours per occurrence</t>
  </si>
  <si>
    <t>(B) 
No. of occurrences per plant per year</t>
  </si>
  <si>
    <t>(C) 
EPA person- hours per plant per year (C=AxB)</t>
  </si>
  <si>
    <r>
      <t xml:space="preserve">(D) 
Plants per year </t>
    </r>
    <r>
      <rPr>
        <b/>
        <vertAlign val="superscript"/>
        <sz val="12"/>
        <color indexed="8"/>
        <rFont val="Times New Roman"/>
        <family val="1"/>
      </rPr>
      <t>a</t>
    </r>
  </si>
  <si>
    <t>(F) 
Management person hr/yr (Ex0.05)</t>
  </si>
  <si>
    <t>(G) 
Clerical person hr/yr (Ex0.1)</t>
  </si>
  <si>
    <r>
      <t xml:space="preserve">(H) 
Cost, $ </t>
    </r>
    <r>
      <rPr>
        <b/>
        <vertAlign val="superscript"/>
        <sz val="12"/>
        <color indexed="8"/>
        <rFont val="Times New Roman"/>
        <family val="1"/>
      </rPr>
      <t>b</t>
    </r>
  </si>
  <si>
    <t>Hourly Mean Wage</t>
  </si>
  <si>
    <t>With  Fringe &amp; Overhead</t>
  </si>
  <si>
    <t>(GS- 12, step 1) - Tech.</t>
  </si>
  <si>
    <t>(GS- 13, step 5) - Mgmt.</t>
  </si>
  <si>
    <t>(GS-6, step 3) - Cler.</t>
  </si>
  <si>
    <t>Table 2: Average Annual EPA Burden and Cost – NESHAP for Chemical Recovery Combustion Sources at Kraft, Soda, Sulfite, and Stand-Alone Semichemical Pulp Mills (40 CFR Part 63, Subpart MM) (Renewal)</t>
  </si>
  <si>
    <t>ERG Notes</t>
  </si>
  <si>
    <r>
      <t xml:space="preserve">(D) 
Respondents per year </t>
    </r>
    <r>
      <rPr>
        <b/>
        <vertAlign val="superscript"/>
        <sz val="10"/>
        <rFont val="Times New Roman"/>
        <family val="1"/>
      </rPr>
      <t>a</t>
    </r>
  </si>
  <si>
    <r>
      <t>(H) 
Total Cost Per year</t>
    </r>
    <r>
      <rPr>
        <b/>
        <vertAlign val="superscript"/>
        <sz val="10"/>
        <rFont val="Times New Roman"/>
        <family val="1"/>
      </rPr>
      <t xml:space="preserve"> b</t>
    </r>
  </si>
  <si>
    <r>
      <t xml:space="preserve">B. Required activities </t>
    </r>
    <r>
      <rPr>
        <vertAlign val="superscript"/>
        <sz val="10"/>
        <color rgb="FF000000"/>
        <rFont val="Times New Roman"/>
        <family val="1"/>
      </rPr>
      <t>d</t>
    </r>
  </si>
  <si>
    <r>
      <t xml:space="preserve">D. Develop record system </t>
    </r>
    <r>
      <rPr>
        <vertAlign val="superscript"/>
        <sz val="10"/>
        <color rgb="FF000000"/>
        <rFont val="Times New Roman"/>
        <family val="1"/>
      </rPr>
      <t>j</t>
    </r>
  </si>
  <si>
    <r>
      <t xml:space="preserve">Records and documentation of supporting calculations for compliance determinations </t>
    </r>
    <r>
      <rPr>
        <vertAlign val="superscript"/>
        <sz val="10"/>
        <color rgb="FF000000"/>
        <rFont val="Times New Roman"/>
        <family val="1"/>
      </rPr>
      <t>k</t>
    </r>
  </si>
  <si>
    <r>
      <t xml:space="preserve">Records certifying that an NDCE recovery furnace equipped with a dry ESP system is used to comply with the gaseous organic HAP standard for kraft and soda recovery furnaces </t>
    </r>
    <r>
      <rPr>
        <vertAlign val="superscript"/>
        <sz val="10"/>
        <color rgb="FF000000"/>
        <rFont val="Times New Roman"/>
        <family val="1"/>
      </rPr>
      <t>l</t>
    </r>
  </si>
  <si>
    <r>
      <t xml:space="preserve">Records of failures to meet standards </t>
    </r>
    <r>
      <rPr>
        <vertAlign val="superscript"/>
        <sz val="10"/>
        <color rgb="FF000000"/>
        <rFont val="Times New Roman"/>
        <family val="1"/>
      </rPr>
      <t>n</t>
    </r>
  </si>
  <si>
    <r>
      <t xml:space="preserve">Records of black liquor solids firing rates for recovery furnaces and semichemical combustion units </t>
    </r>
    <r>
      <rPr>
        <vertAlign val="superscript"/>
        <sz val="10"/>
        <color rgb="FF000000"/>
        <rFont val="Times New Roman"/>
        <family val="1"/>
      </rPr>
      <t>o</t>
    </r>
  </si>
  <si>
    <r>
      <t xml:space="preserve">Records of lime production for lime kilns </t>
    </r>
    <r>
      <rPr>
        <vertAlign val="superscript"/>
        <sz val="10"/>
        <color rgb="FF000000"/>
        <rFont val="Times New Roman"/>
        <family val="1"/>
      </rPr>
      <t>p</t>
    </r>
  </si>
  <si>
    <r>
      <t xml:space="preserve">Records of CMS data </t>
    </r>
    <r>
      <rPr>
        <vertAlign val="superscript"/>
        <sz val="10"/>
        <color rgb="FF000000"/>
        <rFont val="Times New Roman"/>
        <family val="1"/>
      </rPr>
      <t>q</t>
    </r>
  </si>
  <si>
    <r>
      <t xml:space="preserve">Initial training </t>
    </r>
    <r>
      <rPr>
        <vertAlign val="superscript"/>
        <sz val="10"/>
        <color rgb="FF000000"/>
        <rFont val="Times New Roman"/>
        <family val="1"/>
      </rPr>
      <t>r</t>
    </r>
  </si>
  <si>
    <r>
      <t xml:space="preserve">Refresher training </t>
    </r>
    <r>
      <rPr>
        <vertAlign val="superscript"/>
        <sz val="10"/>
        <color rgb="FF000000"/>
        <rFont val="Times New Roman"/>
        <family val="1"/>
      </rPr>
      <t>s</t>
    </r>
  </si>
  <si>
    <r>
      <t xml:space="preserve">G. Time to adjust existing ways to comply with previously applicable requirements </t>
    </r>
    <r>
      <rPr>
        <vertAlign val="superscript"/>
        <sz val="10"/>
        <color rgb="FF000000"/>
        <rFont val="Times New Roman"/>
        <family val="1"/>
      </rPr>
      <t>t</t>
    </r>
  </si>
  <si>
    <r>
      <t xml:space="preserve">Compile data for semiannual periods </t>
    </r>
    <r>
      <rPr>
        <vertAlign val="superscript"/>
        <sz val="10"/>
        <color rgb="FF000000"/>
        <rFont val="Times New Roman"/>
        <family val="1"/>
      </rPr>
      <t>u</t>
    </r>
  </si>
  <si>
    <r>
      <t xml:space="preserve">Enter/verify information for semiannual reports </t>
    </r>
    <r>
      <rPr>
        <vertAlign val="superscript"/>
        <sz val="10"/>
        <color rgb="FF000000"/>
        <rFont val="Times New Roman"/>
        <family val="1"/>
      </rPr>
      <t>v</t>
    </r>
  </si>
  <si>
    <r>
      <t xml:space="preserve">TOTAL LABOR BURDEN AND COSTS (rounded) </t>
    </r>
    <r>
      <rPr>
        <b/>
        <vertAlign val="superscript"/>
        <sz val="10"/>
        <rFont val="Times New Roman"/>
        <family val="1"/>
      </rPr>
      <t>w</t>
    </r>
  </si>
  <si>
    <r>
      <t xml:space="preserve">TOTAL CAPITAL AND O&amp;M COST (rounded) </t>
    </r>
    <r>
      <rPr>
        <b/>
        <vertAlign val="superscript"/>
        <sz val="10"/>
        <rFont val="Times New Roman"/>
        <family val="1"/>
      </rPr>
      <t>w</t>
    </r>
  </si>
  <si>
    <r>
      <t xml:space="preserve">GRAND TOTAL (rounded) </t>
    </r>
    <r>
      <rPr>
        <b/>
        <vertAlign val="superscript"/>
        <sz val="10"/>
        <rFont val="Times New Roman"/>
        <family val="1"/>
      </rPr>
      <t>w</t>
    </r>
  </si>
  <si>
    <r>
      <t xml:space="preserve">   Report of performance test/retest (through CEDRI using ERT) </t>
    </r>
    <r>
      <rPr>
        <vertAlign val="superscript"/>
        <sz val="10"/>
        <color rgb="FF000000"/>
        <rFont val="Times New Roman"/>
        <family val="1"/>
      </rPr>
      <t>h</t>
    </r>
  </si>
  <si>
    <r>
      <t xml:space="preserve">   Excess emissions report (through CEDRI) </t>
    </r>
    <r>
      <rPr>
        <vertAlign val="superscript"/>
        <sz val="10"/>
        <color rgb="FF000000"/>
        <rFont val="Times New Roman"/>
        <family val="1"/>
      </rPr>
      <t>i</t>
    </r>
  </si>
  <si>
    <t xml:space="preserve">   Semiannual reports of monitoring exceedances and periods of noncompliance</t>
  </si>
  <si>
    <t xml:space="preserve">   Semiannual reports of no exceedances</t>
  </si>
  <si>
    <r>
      <t xml:space="preserve">Records demonstrating compliance with requirement to maintain proper operation of ESP’s AVC </t>
    </r>
    <r>
      <rPr>
        <vertAlign val="superscript"/>
        <sz val="10"/>
        <color rgb="FF000000"/>
        <rFont val="Times New Roman"/>
        <family val="1"/>
      </rPr>
      <t>m</t>
    </r>
  </si>
  <si>
    <r>
      <t>Loaded Rate</t>
    </r>
    <r>
      <rPr>
        <sz val="10"/>
        <rFont val="Times New Roman"/>
        <family val="1"/>
      </rPr>
      <t xml:space="preserve"> (Rate + 110%*rate)</t>
    </r>
  </si>
  <si>
    <r>
      <t xml:space="preserve">Agency Rates
</t>
    </r>
    <r>
      <rPr>
        <sz val="10"/>
        <rFont val="Times New Roman"/>
        <family val="1"/>
      </rPr>
      <t>Source: Office of Personnel Management (OPM), 2018 General Schedule</t>
    </r>
  </si>
  <si>
    <t>was 1</t>
  </si>
  <si>
    <r>
      <t>b</t>
    </r>
    <r>
      <rPr>
        <sz val="10"/>
        <color rgb="FF000000"/>
        <rFont val="Times New Roman"/>
        <family val="1"/>
      </rPr>
      <t xml:space="preserve">  This cost is based on the following labor rates which incorporate a 1.6 benefits multiplication factor to account for government overhead expenses: $65.71 Managerial rate (GS-13, Step 5,$41.07 x 1.6), $48.75 Technical rate (GS-12, Step 1, $30.47 x 1.6), and $26.38 Clerical rate (GS-6, Step 3, $16.49 x 1.6). These rates are from the Office of Personnel Management (OPM) 2018 General Schedule which excludes locality rates of pay. </t>
    </r>
  </si>
  <si>
    <r>
      <t>e</t>
    </r>
    <r>
      <rPr>
        <sz val="10"/>
        <color rgb="FF000000"/>
        <rFont val="Times New Roman"/>
        <family val="1"/>
      </rPr>
      <t xml:space="preserve">  We estimate that it will take EPA personnel 2 hours once per year to complete review of the initial notifications (construction/reconstruction, actual startup, applicability of standard) and 4 hours once per year to review the notification of compliance status for new process units (4 mills with new process units/3 years = 1.33).</t>
    </r>
  </si>
  <si>
    <r>
      <t>f</t>
    </r>
    <r>
      <rPr>
        <sz val="10"/>
        <color rgb="FF000000"/>
        <rFont val="Times New Roman"/>
        <family val="1"/>
      </rPr>
      <t xml:space="preserve">  We estimate that it will take EPA personnel 2 hours once per year to complete review of the initial and periodic notifications of performance test/retest and performance evaluation. We estimate that 43 mills will submit notifications of initial/periodic performance test/retest and performance evaluation over the 3-year ICR period (test: (1 new + 107 existing respondents)/3 years = 36; retest: 20% x 36 = 7; total: 36 + 7 = 43).</t>
    </r>
  </si>
  <si>
    <r>
      <t>g</t>
    </r>
    <r>
      <rPr>
        <sz val="10"/>
        <color rgb="FF000000"/>
        <rFont val="Times New Roman"/>
        <family val="1"/>
      </rPr>
      <t xml:space="preserve">  We estimate that it will take EPA personnel 8 hours two times per year to review the monitoring exceedances and periods of noncompliance in the excess emissions report for 5% of respondents (5% x 107.33 = 5).</t>
    </r>
  </si>
  <si>
    <r>
      <t>h</t>
    </r>
    <r>
      <rPr>
        <sz val="10"/>
        <color rgb="FF000000"/>
        <rFont val="Times New Roman"/>
        <family val="1"/>
      </rPr>
      <t xml:space="preserve">  We estimate that it will take EPA personnel 2 hours two times per year to review the no exceedances report for 95% of respondents (95% x 107.33 = 102).</t>
    </r>
  </si>
  <si>
    <t>Rounded to $43,600 with 2017 labor rates in RTR ICR; addition of 1 new facility added about $200.</t>
  </si>
  <si>
    <t>was 347 in RTR ICR; increased by 1.32.</t>
  </si>
  <si>
    <t>Added 2 tests for 2 furnaces for 1 new facility</t>
  </si>
  <si>
    <r>
      <t>b</t>
    </r>
    <r>
      <rPr>
        <sz val="11"/>
        <color theme="1"/>
        <rFont val="Times New Roman"/>
        <family val="1"/>
      </rPr>
      <t xml:space="preserve"> Annualized capital costs were estimated assuming a 5-year payment period at 7% interest for initial performance tests (with a capital recovery factor of 0.244).</t>
    </r>
  </si>
  <si>
    <r>
      <t>Capital recovery factor:</t>
    </r>
    <r>
      <rPr>
        <b/>
        <vertAlign val="superscript"/>
        <sz val="11"/>
        <color rgb="FF000000"/>
        <rFont val="Times New Roman"/>
        <family val="1"/>
      </rPr>
      <t>b</t>
    </r>
    <r>
      <rPr>
        <b/>
        <sz val="11"/>
        <color rgb="FF000000"/>
        <rFont val="Times New Roman"/>
        <family val="1"/>
      </rPr>
      <t xml:space="preserve"> </t>
    </r>
  </si>
  <si>
    <t xml:space="preserve">Was $809,000; adding 1 new facility added $22,000/yr. </t>
  </si>
  <si>
    <r>
      <t xml:space="preserve">A. Familiarization with the regulatory requirements </t>
    </r>
    <r>
      <rPr>
        <vertAlign val="superscript"/>
        <sz val="10"/>
        <color rgb="FF000000"/>
        <rFont val="Times New Roman"/>
        <family val="1"/>
      </rPr>
      <t>c</t>
    </r>
  </si>
  <si>
    <t>Increase in burden - was 24</t>
  </si>
  <si>
    <t>Increase in burden - was 1</t>
  </si>
  <si>
    <t>Increase in burden - was 0.7</t>
  </si>
  <si>
    <t>Increase in burden - was 183</t>
  </si>
  <si>
    <t>Increase in burden - was 107</t>
  </si>
  <si>
    <t>Compared to In RTR ICR, increased - was $14,200,000.</t>
  </si>
  <si>
    <t xml:space="preserve">Compared to RTR ICR, increased (due to 1 new facility) - was $809,000 </t>
  </si>
  <si>
    <t>E. Write reports</t>
  </si>
  <si>
    <t>Subtotal for Burden and Cost - Salary</t>
  </si>
  <si>
    <r>
      <t xml:space="preserve">TOTAL ANNUAL BURDEN AND COST </t>
    </r>
    <r>
      <rPr>
        <b/>
        <vertAlign val="superscript"/>
        <sz val="10"/>
        <rFont val="Times New Roman"/>
        <family val="1"/>
      </rPr>
      <t>j</t>
    </r>
  </si>
  <si>
    <r>
      <t xml:space="preserve">c </t>
    </r>
    <r>
      <rPr>
        <sz val="10"/>
        <color rgb="FF000000"/>
        <rFont val="Times New Roman"/>
        <family val="1"/>
      </rPr>
      <t xml:space="preserve"> Assume EPA will attend tests at 3.6 plants per year. We estimate that it will take EPA personnel 24 hours once per year to attend initial and periodic performance tests at 10% of plants (0.10 x 108/3 years = 3.6), assuming 107 existing plant and 1 new plant will test.</t>
    </r>
  </si>
  <si>
    <r>
      <t>d</t>
    </r>
    <r>
      <rPr>
        <sz val="10"/>
        <color rgb="FF000000"/>
        <rFont val="Times New Roman"/>
        <family val="1"/>
      </rPr>
      <t xml:space="preserve">  Assume EPA will attend retests at 0.7 plants per year. We estimate that 20% of respondents will repeat performance test due to failure and that EPA personnel will attend 10% of retests (0.20 x 0.10 x 108/3 years = 0.7), assuming 107 existing plant and 1 new plant will test. </t>
    </r>
  </si>
  <si>
    <t>Mill Type</t>
  </si>
  <si>
    <t>Kraft</t>
  </si>
  <si>
    <t>Kraft, Mechanical</t>
  </si>
  <si>
    <t>Kraft, Mechanical, Secondary</t>
  </si>
  <si>
    <t>Kraft, Secondary</t>
  </si>
  <si>
    <t>Kraft, Secondary, SemiChem</t>
  </si>
  <si>
    <t>Kraft, SemiChem</t>
  </si>
  <si>
    <t>Kraft, Sulfite-Na</t>
  </si>
  <si>
    <t>Soda</t>
  </si>
  <si>
    <t>kraft/soda</t>
  </si>
  <si>
    <t>Secondary, Semichem</t>
  </si>
  <si>
    <t>SemiChem</t>
  </si>
  <si>
    <t>semichem</t>
  </si>
  <si>
    <t>Sulfite-Mg</t>
  </si>
  <si>
    <t>Sulfite-NH3</t>
  </si>
  <si>
    <t>sulfite</t>
  </si>
  <si>
    <t>Grand Total</t>
  </si>
  <si>
    <t>Count of Existing Pulp Mills</t>
  </si>
  <si>
    <t>Respondents That Submit Reports</t>
  </si>
  <si>
    <t>Respondents That Do Not Submit Any Reports</t>
  </si>
  <si>
    <t>Year</t>
  </si>
  <si>
    <t>Average</t>
  </si>
  <si>
    <t>(B)
Number of Existing Respondents</t>
  </si>
  <si>
    <t>(C)
Number of Existing Respondents that keep records but do not submit reports</t>
  </si>
  <si>
    <t>(D)
Number of Existing Respondents That Are Also New Respondents</t>
  </si>
  <si>
    <t>(E)
Number of Respondents (E=A+B+C-D)</t>
  </si>
  <si>
    <t>Count of Number of Respondents</t>
  </si>
  <si>
    <r>
      <t xml:space="preserve">(A)
Number of New Respondents </t>
    </r>
    <r>
      <rPr>
        <b/>
        <vertAlign val="superscript"/>
        <sz val="11"/>
        <color rgb="FF000000"/>
        <rFont val="Calibri"/>
        <family val="2"/>
        <scheme val="minor"/>
      </rPr>
      <t>a</t>
    </r>
  </si>
  <si>
    <t>Compared to RTR ICR, hours decreased (removed first-year burden hours associated with RTR amendments, added burden for 1 new facility - net decrease) and cost slightly increased (due to new labor rates) - was 124,000 hours and $13,400,000 (2016 rates).</t>
  </si>
  <si>
    <r>
      <t>a</t>
    </r>
    <r>
      <rPr>
        <sz val="10"/>
        <color theme="1"/>
        <rFont val="Times New Roman"/>
        <family val="1"/>
      </rPr>
      <t xml:space="preserve">  We estimate that the number of existing sources subject to the rule is 107 pulp mills. We </t>
    </r>
    <r>
      <rPr>
        <sz val="10"/>
        <rFont val="Times New Roman"/>
        <family val="1"/>
      </rPr>
      <t xml:space="preserve">estimate </t>
    </r>
    <r>
      <rPr>
        <sz val="10"/>
        <color theme="1"/>
        <rFont val="Times New Roman"/>
        <family val="1"/>
      </rPr>
      <t>1 new pulp mill will begin operation in 2021. We also estimate that new equipment will be installed at three existing pulp mills and become subject to the rule over the 3 years of this ICR (two new recovery furnaces, two new SDTs, and one new lime kiln). Based on these estimates, over the 3 years of this ICR, there will be an average of 107.33 pulp mills per year (107 existing facilities + 1 new facility in the third year/3 years = 107.33) and new source requirements for an average of 1.33 pulp mills per year (1 modified or reconstructed facility per year + 1 new facility in the third year/3 years = 1.33 facilities).</t>
    </r>
  </si>
  <si>
    <r>
      <t>i</t>
    </r>
    <r>
      <rPr>
        <sz val="10"/>
        <color rgb="FF000000"/>
        <rFont val="Times New Roman"/>
        <family val="1"/>
      </rPr>
      <t xml:space="preserve">  We estimate that it will take EPA personnel 1 day per plant plus time for travel, at $50 per diem per day, and $400 transportation expense per round trip. Assuming an average of 4.3 tests/retests each year (3.6 tests + 0.7 retests = 4.3)(see footnotes c and d), the annual cost for travel expenses is $1,935 (4.3 tests/retests*($400+$50) = $1,935).</t>
    </r>
  </si>
  <si>
    <r>
      <t>j</t>
    </r>
    <r>
      <rPr>
        <sz val="10"/>
        <rFont val="Times New Roman"/>
        <family val="1"/>
      </rPr>
      <t xml:space="preserve">  Sum of salary and expenses. Total has been rounded to 3 significant figures. Figure may not add exactly due to rounding.</t>
    </r>
  </si>
  <si>
    <r>
      <t xml:space="preserve">Respondant Rates
</t>
    </r>
    <r>
      <rPr>
        <sz val="8"/>
        <rFont val="Times New Roman"/>
        <family val="1"/>
      </rPr>
      <t>(Source: United States Department of Labor, Bureau of Labor Statistics, June 2018, “Table 2. Civilian Workers, by occupational and industry group.”)</t>
    </r>
  </si>
  <si>
    <t>Reduction in burden - Was $141, 500 (30 hours in initial year - Oct 11, 2017-Oct 11, 2018) due to one-time event in first year after RTR amendments. Changed to be the lower annual on-going burden item.</t>
  </si>
  <si>
    <r>
      <t xml:space="preserve">Total </t>
    </r>
    <r>
      <rPr>
        <b/>
        <sz val="11"/>
        <color rgb="FF00B0F0"/>
        <rFont val="Times New Roman"/>
        <family val="1"/>
      </rPr>
      <t>Annualized</t>
    </r>
    <r>
      <rPr>
        <b/>
        <sz val="11"/>
        <color rgb="FF000000"/>
        <rFont val="Times New Roman"/>
        <family val="1"/>
      </rPr>
      <t xml:space="preserve"> Capital/ Startup Cost </t>
    </r>
    <r>
      <rPr>
        <b/>
        <strike/>
        <vertAlign val="superscript"/>
        <sz val="11"/>
        <color rgb="FF000000"/>
        <rFont val="Times New Roman"/>
        <family val="1"/>
      </rPr>
      <t>b</t>
    </r>
  </si>
  <si>
    <t>Note that 2017 labor rates were used in RTR amendmnets ICR supporting statement.</t>
  </si>
  <si>
    <r>
      <t xml:space="preserve">Notifications </t>
    </r>
    <r>
      <rPr>
        <vertAlign val="superscript"/>
        <sz val="10"/>
        <color rgb="FF000000"/>
        <rFont val="Times New Roman"/>
        <family val="1"/>
      </rPr>
      <t>e, f, g</t>
    </r>
  </si>
  <si>
    <r>
      <t>a</t>
    </r>
    <r>
      <rPr>
        <sz val="11"/>
        <color theme="1"/>
        <rFont val="Times New Roman"/>
        <family val="1"/>
      </rPr>
      <t xml:space="preserve"> We estimate that 20% of respondents will repeat the performance test due to failure. Estimate assumes 107 existing facilities with 263 sources, 1 new facility with 2 recovery furnaces, and 6 new sources at 3 existing facilities, 5 of which require THC testing.</t>
    </r>
  </si>
  <si>
    <t xml:space="preserve">183 count likely from Cost Memo, unlikely to have changed significantly. </t>
  </si>
  <si>
    <t xml:space="preserve">No newer facilites use BLO, so assuming the 1 new facility has no BLO system; 104 count likely from Cost Memo, unlikely to have changed significantly. </t>
  </si>
  <si>
    <t>98 count likely from Cost Memo, unlikely to have changed significantly</t>
  </si>
  <si>
    <t>Reduction in burden - was $377,000 (80 hours over 3 years). Assume this burden was intended to be distributed over the initial 3 years following publication. For this ICR, revised to account for only Years 2 and 3 of this one-time 3-year burden. See footnote for explanation.</t>
  </si>
  <si>
    <r>
      <t>b</t>
    </r>
    <r>
      <rPr>
        <sz val="10"/>
        <color theme="1"/>
        <rFont val="Times New Roman"/>
        <family val="1"/>
      </rPr>
      <t xml:space="preserve"> This ICR uses the following labor rates: $147.40 per hour for Managerial labor; $117.92 per hour for Technical labor, and $57.02 per hour for Clerical labor.  These rates are from the United States Department of Labor, Bureau of Labor Statistics, December 2018, Table 2. Civilian Workers, by Occupational and Industry groups.  The rates are from column 1, Total Compensation.  The rates have been increased by 110% to account for the benefit packages available to those employed by private industry.</t>
    </r>
  </si>
  <si>
    <r>
      <t>c</t>
    </r>
    <r>
      <rPr>
        <sz val="10"/>
        <color theme="1"/>
        <rFont val="Times New Roman"/>
        <family val="1"/>
      </rPr>
      <t xml:space="preserve"> We have assumed that it will take 1 hour each year for existing respondents to refamiliarize themselves with rule requirements.</t>
    </r>
  </si>
  <si>
    <r>
      <t>d</t>
    </r>
    <r>
      <rPr>
        <sz val="10"/>
        <color theme="1"/>
        <rFont val="Times New Roman"/>
        <family val="1"/>
      </rPr>
      <t xml:space="preserve">  We estimate that it will take the respondent 24 hours to prepare for initial/periodic performance test (e.g., prepare test plan) and 24 hours to attend the test. We also estimate 2 plant personnel will attend the test. We estimate that </t>
    </r>
    <r>
      <rPr>
        <sz val="10"/>
        <rFont val="Times New Roman"/>
        <family val="1"/>
      </rPr>
      <t>74</t>
    </r>
    <r>
      <rPr>
        <sz val="10"/>
        <color theme="1"/>
        <rFont val="Times New Roman"/>
        <family val="1"/>
      </rPr>
      <t xml:space="preserve"> mills (which includes the 1 new mill) will need to conduct a test (the rest of the</t>
    </r>
    <r>
      <rPr>
        <sz val="10"/>
        <rFont val="Times New Roman"/>
        <family val="1"/>
      </rPr>
      <t xml:space="preserve"> 107 existing</t>
    </r>
    <r>
      <rPr>
        <sz val="10"/>
        <color theme="1"/>
        <rFont val="Times New Roman"/>
        <family val="1"/>
      </rPr>
      <t xml:space="preserve"> mills are already required under existing state rules to conduct tests); this will occur once during the 3-year ICR period (</t>
    </r>
    <r>
      <rPr>
        <sz val="10"/>
        <rFont val="Times New Roman"/>
        <family val="1"/>
      </rPr>
      <t xml:space="preserve">74 </t>
    </r>
    <r>
      <rPr>
        <sz val="10"/>
        <color theme="1"/>
        <rFont val="Times New Roman"/>
        <family val="1"/>
      </rPr>
      <t xml:space="preserve">respondents/3 years = </t>
    </r>
    <r>
      <rPr>
        <sz val="10"/>
        <rFont val="Times New Roman"/>
        <family val="1"/>
      </rPr>
      <t>25</t>
    </r>
    <r>
      <rPr>
        <sz val="10"/>
        <color theme="1"/>
        <rFont val="Times New Roman"/>
        <family val="1"/>
      </rPr>
      <t xml:space="preserve">). In addition, we estimate that 20% of respondents (20% x </t>
    </r>
    <r>
      <rPr>
        <sz val="10"/>
        <rFont val="Times New Roman"/>
        <family val="1"/>
      </rPr>
      <t>25</t>
    </r>
    <r>
      <rPr>
        <sz val="10"/>
        <color theme="1"/>
        <rFont val="Times New Roman"/>
        <family val="1"/>
      </rPr>
      <t xml:space="preserve"> respondents = 5) will repeat performance test due to failure.</t>
    </r>
  </si>
  <si>
    <r>
      <t>e</t>
    </r>
    <r>
      <rPr>
        <sz val="10"/>
        <color theme="1"/>
        <rFont val="Times New Roman"/>
        <family val="1"/>
      </rPr>
      <t xml:space="preserve">  With the exception of the notification of compliance status, we estimate that it will take the respondent 2 hours once per year to complete the notifications and submit selected ones through the EPA's CEDRI.</t>
    </r>
  </si>
  <si>
    <r>
      <t>f</t>
    </r>
    <r>
      <rPr>
        <sz val="10"/>
        <color theme="1"/>
        <rFont val="Times New Roman"/>
        <family val="1"/>
      </rPr>
      <t xml:space="preserve">  We estimate that it will take the respondent 80 hours once in the initial year to prepare the notification of compliance status and submit it through the EPA's CEDRI.</t>
    </r>
  </si>
  <si>
    <r>
      <t>g</t>
    </r>
    <r>
      <rPr>
        <sz val="10"/>
        <rFont val="Times New Roman"/>
        <family val="1"/>
      </rPr>
      <t xml:space="preserve">  We estimate that the 1 new pulp mill and 3 existing pulp mills with new process units will submit initial notifications (construction/reconstruction, actual startup, applicability of standard) and a notification of compliance status, which are one-time requirements (4 new respondents/3 years = 1.33). We estimate that 43 mills will submit notifications of performance test/retest and performance evaluation over the 3-year ICR period (testing = (1 new + 107 existing respondents)/3 years = 36; retesting = 20% x 36 respondents = 7; total testing and retesting = 36 + 7 = 43). </t>
    </r>
  </si>
  <si>
    <r>
      <t>h</t>
    </r>
    <r>
      <rPr>
        <sz val="10"/>
        <color theme="1"/>
        <rFont val="Times New Roman"/>
        <family val="1"/>
      </rPr>
      <t xml:space="preserve">  Hard copy report of performance test/retest is included in capital/startup costs. Submittal of performance test/retest data through the EPA's CEDRI in ERT format is estimated to require 8 hours for 43 mills (see respondent calculation in footnote g). </t>
    </r>
  </si>
  <si>
    <r>
      <t>i</t>
    </r>
    <r>
      <rPr>
        <sz val="10"/>
        <rFont val="Times New Roman"/>
        <family val="1"/>
      </rPr>
      <t xml:space="preserve">  We estimate that 5% of respondents (5% x 107.33 respondents = 5) will each take 16 hours two times per year to complete reports of monitoring exceedances and periods of noncompliance and submit them through the EPA's CEDRI. We estimate that 95% of respondents (95% x 107.33 respondents = 102) will each take 8 hours two times per year to write reports of no exceedances and submit them through the EPA's CEDRI.</t>
    </r>
  </si>
  <si>
    <r>
      <t>j</t>
    </r>
    <r>
      <rPr>
        <sz val="10"/>
        <color theme="1"/>
        <rFont val="Times New Roman"/>
        <family val="1"/>
      </rPr>
      <t xml:space="preserve">  We estimate that it will take the respondent 40 hours to develop a record system to comply with monitoring requirements (4 new respondents/3 years = 1.33). </t>
    </r>
  </si>
  <si>
    <r>
      <t>k</t>
    </r>
    <r>
      <rPr>
        <sz val="10"/>
        <color theme="1"/>
        <rFont val="Times New Roman"/>
        <family val="1"/>
      </rPr>
      <t xml:space="preserve">  We estimate that it will take the respondent 8 hours (1 day) each year to enter records and documentation of supporting calculation for compliance determinations and 2 hours to enter a record of compliant monitoring parameter ranges. We estimate that 43 mills (see footnote g) will enter this information (includes initial test and retest, for mills required to retest).</t>
    </r>
  </si>
  <si>
    <r>
      <t>l</t>
    </r>
    <r>
      <rPr>
        <sz val="10"/>
        <rFont val="Times New Roman"/>
        <family val="1"/>
      </rPr>
      <t xml:space="preserve">  We estimate that the 1 new pulp mill and 2 existing mills will install new recovery furnaces over 3 years, for an average of 1 mill with new recovery furnaces per year over the ICR period (3 mills/3 years=1).  Based on current industry trends, the new furnaces are expected to be a non-direct contact evaporator (NDCE) recovery furnace equipped with a dry ESP system. We estimate that it will take the respondent 2 hours to record this information.</t>
    </r>
  </si>
  <si>
    <r>
      <t>m</t>
    </r>
    <r>
      <rPr>
        <sz val="10"/>
        <rFont val="Times New Roman"/>
        <family val="1"/>
      </rPr>
      <t xml:space="preserve"> Assume the 1 new facility has two recovery furnaces with 1 ESP for each recovery furnace. We estimate that it will take 8 hours per semiannual period each year to keep records demonstrating compliance with the requirement to maintain proper operation of the ESP AVC for 183.67 recovery furnace and lime kiln ESPs (183 existing ESPs + 2 new ESPs in the third year/3 years = 183.67).</t>
    </r>
  </si>
  <si>
    <r>
      <t>n</t>
    </r>
    <r>
      <rPr>
        <sz val="10"/>
        <rFont val="Times New Roman"/>
        <family val="1"/>
      </rPr>
      <t xml:space="preserve">  We estimate that 5% of respondents (5% x 107.33 respondents = 5) will fail to meet standards each year. We estimate that each respondent will take 2 hours 12 times per year to keep records of failures to meet the standards.</t>
    </r>
  </si>
  <si>
    <r>
      <t>o</t>
    </r>
    <r>
      <rPr>
        <sz val="10"/>
        <rFont val="Times New Roman"/>
        <family val="1"/>
      </rPr>
      <t xml:space="preserve">  We estimate 104 existing kraft, soda, and stand-alone semichemical pulp mills have recovery furnaces or other chemical recovery combustion units that will need to keep records of black liquor solids firing rate. We estimate that each respondent will take 1.5 hours 52 times per year to keep these records.</t>
    </r>
  </si>
  <si>
    <r>
      <t>p</t>
    </r>
    <r>
      <rPr>
        <sz val="10"/>
        <rFont val="Times New Roman"/>
        <family val="1"/>
      </rPr>
      <t xml:space="preserve">  We estimate 98 existing kraft and soda pulp mills have lime kilns that will need to keep records of lime production rate. We estimate that each respondent will take 1.5 hours 52 times per year to keep these records.</t>
    </r>
  </si>
  <si>
    <r>
      <t>q</t>
    </r>
    <r>
      <rPr>
        <sz val="10"/>
        <rFont val="Times New Roman"/>
        <family val="1"/>
      </rPr>
      <t xml:space="preserve">   For the 1 new facility, assume each of the 2 NDCE recovery furnaces has a smelt dissolving tank (SDT) with a wet scrubber. We estimate that each respondent will take 0.5 hours 1,050 times per year to record wet scrubber and regenerative thermal oxidizer (RTO) parameters at all existing 107.33 mills (107 existing sources + 1 new source in third year/3 years=107.33).</t>
    </r>
  </si>
  <si>
    <r>
      <t>r</t>
    </r>
    <r>
      <rPr>
        <sz val="10"/>
        <rFont val="Times New Roman"/>
        <family val="1"/>
      </rPr>
      <t xml:space="preserve">  We estimate that it will take the respondent 40 hours (1 week) once per year for initial training of personnel with new sources (4 new respondents/3 years) = 1.33). </t>
    </r>
  </si>
  <si>
    <r>
      <t>s</t>
    </r>
    <r>
      <rPr>
        <sz val="10"/>
        <color theme="1"/>
        <rFont val="Times New Roman"/>
        <family val="1"/>
      </rPr>
      <t xml:space="preserve">  We estimate that it will take each respondent 16 hours to provide refresher training each year for personnel at all 107 existing mills.</t>
    </r>
  </si>
  <si>
    <r>
      <t>t</t>
    </r>
    <r>
      <rPr>
        <sz val="10"/>
        <color theme="1"/>
        <rFont val="Times New Roman"/>
        <family val="1"/>
      </rPr>
      <t xml:space="preserve">  Over the period October 11, 2017 through October 11, 2020, due to the RTR amendments published on October 11, 2017, we estimated that it would take each respondent 80 hours to make a one-time adjustment to existing data acquisition systems to include startup and shutdown periods and the revised opacity monitoring allowances, and to transition to electronic excess emissions reporting. This ICR includes the burden for the period November 1, 2018 through October 31, 2020, which equates to 2/3 of the original 80-hour estimate, or 53.3 hours. Averaged over the 3 years of this ICR, this burden equates to 17.8 hours per year for 107 respondents. </t>
    </r>
  </si>
  <si>
    <r>
      <t>u</t>
    </r>
    <r>
      <rPr>
        <sz val="10"/>
        <rFont val="Times New Roman"/>
        <family val="1"/>
      </rPr>
      <t xml:space="preserve">  We estimate that each respondent will take 96 hours per semiannual period to compile data for all 107.33 mills (107 existing sources + 1 new sources in third year/3 years=107.33).</t>
    </r>
  </si>
  <si>
    <r>
      <t>v</t>
    </r>
    <r>
      <rPr>
        <sz val="10"/>
        <rFont val="Times New Roman"/>
        <family val="1"/>
      </rPr>
      <t xml:space="preserve">  We estimate that each respondent will take 8 hours two times per year to verify information for reports for all 107.33 mills (107 existing sources + 1 new sources in third year/3 years=107.33).</t>
    </r>
  </si>
  <si>
    <r>
      <t>w</t>
    </r>
    <r>
      <rPr>
        <sz val="10"/>
        <rFont val="Times New Roman"/>
        <family val="1"/>
      </rPr>
      <t xml:space="preserve">  Totals have been rounded to 3 significant figures. Figures may not add exactly due to rounding.</t>
    </r>
  </si>
  <si>
    <r>
      <t xml:space="preserve">1. Attend initial/periodic performance test </t>
    </r>
    <r>
      <rPr>
        <vertAlign val="superscript"/>
        <sz val="10"/>
        <color rgb="FF000000"/>
        <rFont val="Times New Roman"/>
        <family val="1"/>
      </rPr>
      <t>c</t>
    </r>
  </si>
  <si>
    <r>
      <t xml:space="preserve">2. Attend retest </t>
    </r>
    <r>
      <rPr>
        <vertAlign val="superscript"/>
        <sz val="10"/>
        <color rgb="FF000000"/>
        <rFont val="Times New Roman"/>
        <family val="1"/>
      </rPr>
      <t>c,d</t>
    </r>
  </si>
  <si>
    <r>
      <t xml:space="preserve">Notification of construction/reconstruction </t>
    </r>
    <r>
      <rPr>
        <vertAlign val="superscript"/>
        <sz val="10"/>
        <color rgb="FF000000"/>
        <rFont val="Times New Roman"/>
        <family val="1"/>
      </rPr>
      <t>e</t>
    </r>
  </si>
  <si>
    <r>
      <t xml:space="preserve">Notification of actual startup </t>
    </r>
    <r>
      <rPr>
        <vertAlign val="superscript"/>
        <sz val="10"/>
        <color rgb="FF000000"/>
        <rFont val="Times New Roman"/>
        <family val="1"/>
      </rPr>
      <t>e</t>
    </r>
  </si>
  <si>
    <r>
      <t xml:space="preserve">Notification of applicability of standard </t>
    </r>
    <r>
      <rPr>
        <vertAlign val="superscript"/>
        <sz val="10"/>
        <color rgb="FF000000"/>
        <rFont val="Times New Roman"/>
        <family val="1"/>
      </rPr>
      <t>e</t>
    </r>
  </si>
  <si>
    <r>
      <t xml:space="preserve">Notification of initial/periodic performance test </t>
    </r>
    <r>
      <rPr>
        <vertAlign val="superscript"/>
        <sz val="10"/>
        <color rgb="FF000000"/>
        <rFont val="Times New Roman"/>
        <family val="1"/>
      </rPr>
      <t>f</t>
    </r>
  </si>
  <si>
    <r>
      <t xml:space="preserve">Notification of performance evaluation </t>
    </r>
    <r>
      <rPr>
        <vertAlign val="superscript"/>
        <sz val="10"/>
        <color rgb="FF000000"/>
        <rFont val="Times New Roman"/>
        <family val="1"/>
      </rPr>
      <t>f</t>
    </r>
  </si>
  <si>
    <r>
      <t xml:space="preserve">Review of notification of compliance status </t>
    </r>
    <r>
      <rPr>
        <vertAlign val="superscript"/>
        <sz val="10"/>
        <color rgb="FF000000"/>
        <rFont val="Times New Roman"/>
        <family val="1"/>
      </rPr>
      <t>e</t>
    </r>
  </si>
  <si>
    <r>
      <t>Semiannual reports of monitoring exceedances and periods of noncompliance</t>
    </r>
    <r>
      <rPr>
        <vertAlign val="superscript"/>
        <sz val="10"/>
        <color rgb="FF000000"/>
        <rFont val="Times New Roman"/>
        <family val="1"/>
      </rPr>
      <t xml:space="preserve"> g</t>
    </r>
  </si>
  <si>
    <r>
      <t xml:space="preserve">Semiannual reports of no exceedances </t>
    </r>
    <r>
      <rPr>
        <vertAlign val="superscript"/>
        <sz val="10"/>
        <color rgb="FF000000"/>
        <rFont val="Times New Roman"/>
        <family val="1"/>
      </rPr>
      <t>h</t>
    </r>
  </si>
  <si>
    <r>
      <t xml:space="preserve">   Travel Expenses for Tests Attended </t>
    </r>
    <r>
      <rPr>
        <vertAlign val="superscript"/>
        <sz val="10"/>
        <color rgb="FF000000"/>
        <rFont val="Times New Roman"/>
        <family val="1"/>
      </rPr>
      <t>i</t>
    </r>
  </si>
  <si>
    <t>Renewal Notes</t>
  </si>
  <si>
    <r>
      <rPr>
        <b/>
        <sz val="11"/>
        <rFont val="Times New Roman"/>
        <family val="1"/>
      </rPr>
      <t xml:space="preserve">Total annualized capital/startup cost </t>
    </r>
    <r>
      <rPr>
        <b/>
        <vertAlign val="superscript"/>
        <sz val="11"/>
        <rFont val="Times New Roman"/>
        <family val="1"/>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</si>
</sst>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8" formatCode="&quot;$&quot;#,##0.00_);[Red]\(&quot;$&quot;#,##0.00\)"/>
    <numFmt numFmtId="164" formatCode="#,##0.0"/>
    <numFmt numFmtId="165" formatCode="&quot;$&quot;#,##0.00"/>
    <numFmt numFmtId="166" formatCode="General_)"/>
    <numFmt numFmtId="167" formatCode="0.000"/>
  </numFmts>
  <fonts count="56" x14ac:knownFonts="1">
    <font>
      <sz val="11"/>
      <color theme="1"/>
      <name val="Calibri"/>
      <family val="2"/>
      <scheme val="minor"/>
    </font>
    <font>
      <b/>
      <sz val="12"/>
      <color rgb="FF000000"/>
      <name val="Times New Roman"/>
      <family val="1"/>
    </font>
    <font>
      <b/>
      <sz val="8"/>
      <color rgb="FF000000"/>
      <name val="Times New Roman"/>
      <family val="1"/>
    </font>
    <font>
      <sz val="8"/>
      <color rgb="FF000000"/>
      <name val="Times New Roman"/>
      <family val="1"/>
    </font>
    <font>
      <vertAlign val="superscript"/>
      <sz val="8"/>
      <color theme="1"/>
      <name val="Times New Roman"/>
      <family val="1"/>
    </font>
    <font>
      <sz val="10"/>
      <color theme="1"/>
      <name val="Times New Roman"/>
      <family val="1"/>
    </font>
    <font>
      <b/>
      <sz val="11"/>
      <color rgb="FF000000"/>
      <name val="Times New Roman"/>
      <family val="1"/>
    </font>
    <font>
      <sz val="11"/>
      <color theme="1"/>
      <name val="Times New Roman"/>
      <family val="1"/>
    </font>
    <font>
      <sz val="11"/>
      <color rgb="FF000000"/>
      <name val="Times New Roman"/>
      <family val="1"/>
    </font>
    <font>
      <vertAlign val="superscript"/>
      <sz val="11"/>
      <color theme="1"/>
      <name val="Times New Roman"/>
      <family val="1"/>
    </font>
    <font>
      <b/>
      <sz val="11"/>
      <color theme="1"/>
      <name val="Times New Roman"/>
      <family val="1"/>
    </font>
    <font>
      <b/>
      <sz val="10"/>
      <name val="Times New Roman"/>
      <family val="1"/>
    </font>
    <font>
      <sz val="10"/>
      <name val="Times New Roman"/>
      <family val="1"/>
    </font>
    <font>
      <sz val="11"/>
      <name val="Calibri"/>
      <family val="2"/>
    </font>
    <font>
      <sz val="8"/>
      <name val="Helv"/>
    </font>
    <font>
      <sz val="8"/>
      <name val="Times New Roman"/>
      <family val="1"/>
    </font>
    <font>
      <b/>
      <u/>
      <sz val="10"/>
      <name val="Times New Roman"/>
      <family val="1"/>
    </font>
    <font>
      <sz val="10"/>
      <name val="Calibri"/>
      <family val="2"/>
    </font>
    <font>
      <b/>
      <sz val="8"/>
      <name val="Times New Roman"/>
      <family val="1"/>
    </font>
    <font>
      <b/>
      <u/>
      <sz val="8"/>
      <name val="Times New Roman"/>
      <family val="1"/>
    </font>
    <font>
      <sz val="10"/>
      <color indexed="8"/>
      <name val="Times New Roman"/>
      <family val="1"/>
    </font>
    <font>
      <sz val="10"/>
      <color rgb="FFFF0000"/>
      <name val="Times New Roman"/>
      <family val="1"/>
    </font>
    <font>
      <b/>
      <vertAlign val="superscript"/>
      <sz val="11"/>
      <color rgb="FF000000"/>
      <name val="Times New Roman"/>
      <family val="1"/>
    </font>
    <font>
      <b/>
      <sz val="10"/>
      <color indexed="8"/>
      <name val="Times New Roman"/>
      <family val="1"/>
    </font>
    <font>
      <b/>
      <vertAlign val="superscript"/>
      <sz val="12"/>
      <color indexed="8"/>
      <name val="Times New Roman"/>
      <family val="1"/>
    </font>
    <font>
      <sz val="10"/>
      <name val="Arial"/>
      <family val="2"/>
    </font>
    <font>
      <sz val="8"/>
      <name val="Courier"/>
      <family val="3"/>
    </font>
    <font>
      <sz val="11"/>
      <color rgb="FFFF0000"/>
      <name val="Calibri"/>
      <family val="2"/>
      <scheme val="minor"/>
    </font>
    <font>
      <b/>
      <sz val="10"/>
      <color rgb="FF000000"/>
      <name val="Times New Roman"/>
      <family val="1"/>
    </font>
    <font>
      <sz val="10"/>
      <color theme="1"/>
      <name val="Calibri"/>
      <family val="2"/>
      <scheme val="minor"/>
    </font>
    <font>
      <b/>
      <vertAlign val="superscript"/>
      <sz val="10"/>
      <name val="Times New Roman"/>
      <family val="1"/>
    </font>
    <font>
      <sz val="10"/>
      <color rgb="FF000000"/>
      <name val="Times New Roman"/>
      <family val="1"/>
    </font>
    <font>
      <vertAlign val="superscript"/>
      <sz val="10"/>
      <color rgb="FF000000"/>
      <name val="Times New Roman"/>
      <family val="1"/>
    </font>
    <font>
      <b/>
      <sz val="10"/>
      <color theme="1"/>
      <name val="Times New Roman"/>
      <family val="1"/>
    </font>
    <font>
      <sz val="10"/>
      <color rgb="FFFF0000"/>
      <name val="Calibri"/>
      <family val="2"/>
      <scheme val="minor"/>
    </font>
    <font>
      <sz val="11"/>
      <name val="Calibri"/>
      <family val="2"/>
      <scheme val="minor"/>
    </font>
    <font>
      <vertAlign val="superscript"/>
      <sz val="10"/>
      <color theme="1"/>
      <name val="Times New Roman"/>
      <family val="1"/>
    </font>
    <font>
      <vertAlign val="superscript"/>
      <sz val="10"/>
      <name val="Times New Roman"/>
      <family val="1"/>
    </font>
    <font>
      <b/>
      <sz val="11"/>
      <color rgb="FFFF0000"/>
      <name val="Times New Roman"/>
      <family val="1"/>
    </font>
    <font>
      <sz val="10"/>
      <name val="Calibri"/>
      <family val="2"/>
      <scheme val="minor"/>
    </font>
    <font>
      <sz val="8"/>
      <color theme="1"/>
      <name val="Calibri"/>
      <family val="2"/>
      <scheme val="minor"/>
    </font>
    <font>
      <sz val="8"/>
      <color rgb="FFFF0000"/>
      <name val="Calibri"/>
      <family val="2"/>
      <scheme val="minor"/>
    </font>
    <font>
      <sz val="8"/>
      <name val="Calibri"/>
      <family val="2"/>
      <scheme val="minor"/>
    </font>
    <font>
      <b/>
      <sz val="11"/>
      <color theme="1"/>
      <name val="Calibri"/>
      <family val="2"/>
      <scheme val="minor"/>
    </font>
    <font>
      <b/>
      <sz val="8"/>
      <color rgb="FFFF0000"/>
      <name val="Calibri"/>
      <family val="2"/>
      <scheme val="minor"/>
    </font>
    <font>
      <i/>
      <sz val="10"/>
      <color rgb="FF000000"/>
      <name val="Times New Roman"/>
      <family val="1"/>
    </font>
    <font>
      <b/>
      <sz val="11"/>
      <color rgb="FF000000"/>
      <name val="Calibri"/>
      <family val="2"/>
      <scheme val="minor"/>
    </font>
    <font>
      <sz val="11"/>
      <color rgb="FF000000"/>
      <name val="Calibri"/>
      <family val="2"/>
      <scheme val="minor"/>
    </font>
    <font>
      <b/>
      <vertAlign val="superscript"/>
      <sz val="11"/>
      <color rgb="FF000000"/>
      <name val="Calibri"/>
      <family val="2"/>
      <scheme val="minor"/>
    </font>
    <font>
      <sz val="9"/>
      <color indexed="81"/>
      <name val="Tahoma"/>
      <family val="2"/>
    </font>
    <font>
      <b/>
      <sz val="9"/>
      <color indexed="81"/>
      <name val="Tahoma"/>
      <family val="2"/>
    </font>
    <font>
      <b/>
      <sz val="11"/>
      <color rgb="FF00B0F0"/>
      <name val="Times New Roman"/>
      <family val="1"/>
    </font>
    <font>
      <b/>
      <strike/>
      <vertAlign val="superscript"/>
      <sz val="11"/>
      <color rgb="FF000000"/>
      <name val="Times New Roman"/>
      <family val="1"/>
    </font>
    <font>
      <b/>
      <i/>
      <sz val="10"/>
      <color rgb="FF000000"/>
      <name val="Times New Roman"/>
      <family val="1"/>
    </font>
    <font>
      <b/>
      <sz val="11"/>
      <name val="Times New Roman"/>
      <family val="1"/>
    </font>
    <font>
      <b/>
      <vertAlign val="superscript"/>
      <sz val="11"/>
      <name val="Times New Roman"/>
      <family val="1"/>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style="thin">
        <color indexed="64"/>
      </right>
      <top style="medium">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4">
    <xf numFmtId="0" fontId="0" fillId="0" borderId="0"/>
    <xf numFmtId="166" fontId="14" fillId="0" borderId="0"/>
    <xf numFmtId="0" fontId="25" fillId="0" borderId="0"/>
    <xf numFmtId="0" fontId="26" fillId="0" borderId="0"/>
  </cellStyleXfs>
  <cellXfs count="195">
    <xf numFmtId="0" fontId="0" fillId="0" borderId="0" xfId="0"/>
    <xf numFmtId="0" fontId="4" fillId="0" borderId="0" xfId="0" applyFont="1"/>
    <xf numFmtId="0" fontId="0" fillId="0" borderId="0" xfId="0" applyBorder="1"/>
    <xf numFmtId="0" fontId="2" fillId="0" borderId="0" xfId="0" applyFont="1" applyBorder="1" applyAlignment="1">
      <alignment vertical="center"/>
    </xf>
    <xf numFmtId="0" fontId="3" fillId="0" borderId="0" xfId="0" applyFont="1" applyBorder="1" applyAlignment="1">
      <alignment horizontal="center" vertical="center" wrapText="1"/>
    </xf>
    <xf numFmtId="3" fontId="2" fillId="0" borderId="0" xfId="0" applyNumberFormat="1" applyFont="1" applyBorder="1" applyAlignment="1">
      <alignment horizontal="center" vertical="center" wrapText="1"/>
    </xf>
    <xf numFmtId="6" fontId="2" fillId="0" borderId="0" xfId="0" applyNumberFormat="1" applyFont="1" applyBorder="1" applyAlignment="1">
      <alignment horizontal="right" vertical="center" wrapText="1"/>
    </xf>
    <xf numFmtId="0" fontId="2" fillId="0" borderId="0" xfId="0" applyFont="1" applyBorder="1" applyAlignment="1">
      <alignment horizontal="center" vertical="center" wrapText="1"/>
    </xf>
    <xf numFmtId="6" fontId="0" fillId="0" borderId="0" xfId="0" applyNumberFormat="1"/>
    <xf numFmtId="0" fontId="12" fillId="0" borderId="0" xfId="0" applyFont="1"/>
    <xf numFmtId="0" fontId="13" fillId="0" borderId="0" xfId="0" applyFont="1"/>
    <xf numFmtId="165" fontId="12" fillId="0" borderId="0" xfId="0" applyNumberFormat="1" applyFont="1"/>
    <xf numFmtId="166" fontId="16" fillId="0" borderId="1" xfId="1" applyFont="1" applyFill="1" applyBorder="1" applyAlignment="1">
      <alignment horizontal="center" vertical="center" wrapText="1"/>
    </xf>
    <xf numFmtId="166" fontId="12" fillId="0" borderId="1" xfId="1" applyFont="1" applyFill="1" applyBorder="1" applyAlignment="1">
      <alignment horizontal="center" vertical="center" wrapText="1"/>
    </xf>
    <xf numFmtId="165" fontId="12" fillId="0" borderId="1" xfId="1" applyNumberFormat="1" applyFont="1" applyFill="1" applyBorder="1" applyAlignment="1">
      <alignment horizontal="right" wrapText="1"/>
    </xf>
    <xf numFmtId="1" fontId="17" fillId="0" borderId="1" xfId="0" applyNumberFormat="1" applyFont="1" applyFill="1" applyBorder="1"/>
    <xf numFmtId="0" fontId="17" fillId="0" borderId="1" xfId="0" applyFont="1" applyFill="1" applyBorder="1"/>
    <xf numFmtId="3" fontId="0" fillId="0" borderId="0" xfId="0" applyNumberFormat="1"/>
    <xf numFmtId="0" fontId="6" fillId="0" borderId="3" xfId="0" applyFont="1" applyBorder="1" applyAlignment="1">
      <alignment horizontal="center" vertical="center" wrapText="1"/>
    </xf>
    <xf numFmtId="0" fontId="0" fillId="0" borderId="3" xfId="0" applyBorder="1" applyAlignment="1">
      <alignment wrapText="1"/>
    </xf>
    <xf numFmtId="0" fontId="7" fillId="0" borderId="3" xfId="0" applyFont="1" applyBorder="1" applyAlignment="1">
      <alignment vertical="center" wrapText="1"/>
    </xf>
    <xf numFmtId="0" fontId="8" fillId="0" borderId="3" xfId="0" applyFont="1" applyBorder="1" applyAlignment="1">
      <alignment horizontal="center" vertical="center" wrapText="1"/>
    </xf>
    <xf numFmtId="0" fontId="7" fillId="0" borderId="3" xfId="0" applyFont="1" applyBorder="1" applyAlignment="1">
      <alignment horizontal="left" vertical="center" wrapText="1" indent="1"/>
    </xf>
    <xf numFmtId="6" fontId="8" fillId="0" borderId="3" xfId="0" applyNumberFormat="1" applyFont="1" applyBorder="1" applyAlignment="1">
      <alignment horizontal="center" vertical="center" wrapText="1"/>
    </xf>
    <xf numFmtId="6" fontId="7" fillId="0" borderId="3" xfId="0" applyNumberFormat="1" applyFont="1" applyBorder="1" applyAlignment="1">
      <alignment horizontal="center" vertical="center" wrapText="1"/>
    </xf>
    <xf numFmtId="6" fontId="10"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vertical="center" wrapText="1"/>
    </xf>
    <xf numFmtId="0" fontId="1" fillId="0" borderId="0" xfId="0" applyFont="1" applyAlignment="1">
      <alignment horizontal="left" vertic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165" fontId="13" fillId="0" borderId="0" xfId="0" applyNumberFormat="1" applyFont="1"/>
    <xf numFmtId="0" fontId="12" fillId="0" borderId="5" xfId="2" applyFont="1" applyFill="1" applyBorder="1" applyAlignment="1">
      <alignment wrapText="1"/>
    </xf>
    <xf numFmtId="0" fontId="11" fillId="0" borderId="6" xfId="2" applyFont="1" applyFill="1" applyBorder="1" applyAlignment="1">
      <alignment vertical="center" wrapText="1"/>
    </xf>
    <xf numFmtId="0" fontId="11" fillId="0" borderId="7" xfId="2" applyFont="1" applyFill="1" applyBorder="1" applyAlignment="1">
      <alignment vertical="center" wrapText="1"/>
    </xf>
    <xf numFmtId="0" fontId="12" fillId="0" borderId="8" xfId="2" applyFont="1" applyFill="1" applyBorder="1"/>
    <xf numFmtId="165" fontId="12" fillId="0" borderId="8" xfId="3" applyNumberFormat="1" applyFont="1" applyBorder="1"/>
    <xf numFmtId="0" fontId="12" fillId="0" borderId="1" xfId="3" applyFont="1" applyFill="1" applyBorder="1"/>
    <xf numFmtId="165" fontId="12" fillId="0" borderId="1" xfId="3" applyNumberFormat="1" applyFont="1" applyBorder="1"/>
    <xf numFmtId="0" fontId="12" fillId="0" borderId="1" xfId="2" applyFont="1" applyFill="1" applyBorder="1"/>
    <xf numFmtId="0" fontId="20" fillId="0" borderId="1" xfId="0" applyFont="1" applyBorder="1" applyAlignment="1">
      <alignment horizontal="center" vertical="center" wrapText="1"/>
    </xf>
    <xf numFmtId="8" fontId="20" fillId="0" borderId="1" xfId="0" applyNumberFormat="1" applyFont="1" applyBorder="1" applyAlignment="1">
      <alignment horizontal="right" vertical="center" wrapText="1" indent="1"/>
    </xf>
    <xf numFmtId="0" fontId="21" fillId="0" borderId="0" xfId="2" applyFont="1" applyFill="1" applyBorder="1"/>
    <xf numFmtId="0" fontId="0" fillId="0" borderId="0" xfId="0" applyFill="1"/>
    <xf numFmtId="0" fontId="6" fillId="2" borderId="9" xfId="0" applyFont="1" applyFill="1" applyBorder="1" applyAlignment="1">
      <alignment horizontal="center" vertical="center" wrapText="1"/>
    </xf>
    <xf numFmtId="0" fontId="7" fillId="0" borderId="3" xfId="0" applyFont="1" applyFill="1" applyBorder="1" applyAlignment="1">
      <alignment vertical="center" wrapText="1"/>
    </xf>
    <xf numFmtId="0" fontId="29" fillId="0" borderId="0" xfId="0" applyFont="1"/>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31" fillId="0" borderId="1" xfId="0" applyFont="1" applyBorder="1" applyAlignment="1">
      <alignment vertical="center"/>
    </xf>
    <xf numFmtId="0" fontId="31" fillId="0" borderId="1" xfId="0" applyFont="1" applyBorder="1" applyAlignment="1">
      <alignment horizontal="center" vertical="center" wrapText="1"/>
    </xf>
    <xf numFmtId="0" fontId="31" fillId="0" borderId="1" xfId="0" applyFont="1" applyBorder="1" applyAlignment="1">
      <alignment horizontal="right" vertical="center" wrapText="1"/>
    </xf>
    <xf numFmtId="0" fontId="31" fillId="0" borderId="1" xfId="0" applyFont="1" applyBorder="1" applyAlignment="1">
      <alignment horizontal="left" vertical="center" indent="1"/>
    </xf>
    <xf numFmtId="0" fontId="12"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31" fillId="0" borderId="1" xfId="0" applyFont="1" applyBorder="1" applyAlignment="1">
      <alignment horizontal="left" vertical="center" indent="2"/>
    </xf>
    <xf numFmtId="0" fontId="12" fillId="0" borderId="1" xfId="0" applyFont="1" applyFill="1" applyBorder="1" applyAlignment="1">
      <alignment horizontal="center" vertical="center" wrapText="1"/>
    </xf>
    <xf numFmtId="6" fontId="31" fillId="0" borderId="1" xfId="0" applyNumberFormat="1" applyFont="1" applyBorder="1" applyAlignment="1">
      <alignment horizontal="right" vertical="center" wrapText="1"/>
    </xf>
    <xf numFmtId="0" fontId="31" fillId="0" borderId="1" xfId="0" applyFont="1" applyFill="1" applyBorder="1" applyAlignment="1">
      <alignment horizontal="center" vertical="center" wrapText="1"/>
    </xf>
    <xf numFmtId="0" fontId="31" fillId="0" borderId="1" xfId="0" applyFont="1" applyBorder="1" applyAlignment="1">
      <alignment horizontal="left" vertical="center" wrapText="1" indent="2"/>
    </xf>
    <xf numFmtId="0" fontId="31" fillId="2" borderId="1" xfId="0" applyFont="1" applyFill="1" applyBorder="1" applyAlignment="1">
      <alignment horizontal="center" vertical="center" wrapText="1"/>
    </xf>
    <xf numFmtId="6" fontId="28" fillId="0" borderId="1" xfId="0" applyNumberFormat="1" applyFont="1" applyBorder="1" applyAlignment="1">
      <alignment horizontal="right" vertical="center" wrapText="1"/>
    </xf>
    <xf numFmtId="164" fontId="12" fillId="0" borderId="1" xfId="0" applyNumberFormat="1" applyFont="1" applyBorder="1" applyAlignment="1">
      <alignment horizontal="center" vertical="center" wrapText="1"/>
    </xf>
    <xf numFmtId="3" fontId="31" fillId="0" borderId="1" xfId="0" applyNumberFormat="1" applyFont="1" applyBorder="1" applyAlignment="1">
      <alignment horizontal="center" vertical="center" wrapText="1"/>
    </xf>
    <xf numFmtId="0" fontId="31" fillId="0" borderId="1" xfId="0" applyFont="1" applyBorder="1" applyAlignment="1">
      <alignment horizontal="left" vertical="center" wrapText="1" indent="1"/>
    </xf>
    <xf numFmtId="0" fontId="11" fillId="0" borderId="1" xfId="0" applyFont="1" applyBorder="1" applyAlignment="1">
      <alignment horizontal="left" vertical="center" wrapText="1"/>
    </xf>
    <xf numFmtId="0" fontId="12" fillId="0" borderId="1" xfId="0" applyFont="1" applyBorder="1"/>
    <xf numFmtId="0" fontId="11" fillId="0" borderId="1" xfId="0" applyFont="1" applyBorder="1" applyAlignment="1">
      <alignment horizontal="left" vertical="center"/>
    </xf>
    <xf numFmtId="0" fontId="31" fillId="0" borderId="1" xfId="0" applyFont="1" applyFill="1" applyBorder="1" applyAlignment="1">
      <alignment horizontal="left" vertical="center" wrapText="1" indent="3"/>
    </xf>
    <xf numFmtId="0" fontId="31" fillId="0" borderId="1" xfId="0" applyFont="1" applyFill="1" applyBorder="1" applyAlignment="1">
      <alignment horizontal="left" vertical="center" indent="2"/>
    </xf>
    <xf numFmtId="0" fontId="31" fillId="0" borderId="1" xfId="0" applyFont="1" applyFill="1" applyBorder="1" applyAlignment="1">
      <alignment horizontal="left" vertical="center" indent="3"/>
    </xf>
    <xf numFmtId="0" fontId="28" fillId="0" borderId="1" xfId="0" applyFont="1" applyFill="1" applyBorder="1" applyAlignment="1">
      <alignment horizontal="center" vertical="center" wrapText="1"/>
    </xf>
    <xf numFmtId="0" fontId="12" fillId="0" borderId="0" xfId="0" applyFont="1" applyFill="1"/>
    <xf numFmtId="0" fontId="31" fillId="0" borderId="1" xfId="0" applyFont="1" applyFill="1" applyBorder="1" applyAlignment="1">
      <alignment horizontal="left" vertical="center" wrapText="1" indent="2"/>
    </xf>
    <xf numFmtId="8" fontId="12" fillId="0" borderId="1" xfId="0" applyNumberFormat="1" applyFont="1" applyBorder="1" applyAlignment="1">
      <alignment horizontal="right" vertical="center" wrapText="1"/>
    </xf>
    <xf numFmtId="6" fontId="11" fillId="0" borderId="1" xfId="0" applyNumberFormat="1" applyFont="1" applyBorder="1" applyAlignment="1">
      <alignment horizontal="right" vertical="center" wrapText="1"/>
    </xf>
    <xf numFmtId="6" fontId="11" fillId="0" borderId="1" xfId="0" applyNumberFormat="1" applyFont="1" applyBorder="1" applyAlignment="1">
      <alignment horizontal="right"/>
    </xf>
    <xf numFmtId="0" fontId="27" fillId="2" borderId="0" xfId="0" applyFont="1" applyFill="1"/>
    <xf numFmtId="0" fontId="12" fillId="0" borderId="0" xfId="0" applyFont="1" applyFill="1" applyBorder="1"/>
    <xf numFmtId="0" fontId="13" fillId="0" borderId="0" xfId="0" applyFont="1" applyFill="1" applyBorder="1"/>
    <xf numFmtId="0" fontId="27" fillId="0" borderId="0" xfId="0" applyFont="1"/>
    <xf numFmtId="0" fontId="0" fillId="0" borderId="10" xfId="0" applyBorder="1"/>
    <xf numFmtId="0" fontId="0" fillId="0" borderId="1" xfId="0" applyBorder="1"/>
    <xf numFmtId="165" fontId="12" fillId="0" borderId="0" xfId="3" applyNumberFormat="1" applyFont="1" applyBorder="1"/>
    <xf numFmtId="6" fontId="28" fillId="2" borderId="1" xfId="0" applyNumberFormat="1" applyFont="1" applyFill="1" applyBorder="1" applyAlignment="1">
      <alignment horizontal="right" vertical="center" wrapText="1"/>
    </xf>
    <xf numFmtId="0" fontId="34" fillId="2" borderId="0" xfId="0" applyFont="1" applyFill="1"/>
    <xf numFmtId="0" fontId="27" fillId="0" borderId="0" xfId="0" applyFont="1" applyFill="1"/>
    <xf numFmtId="0" fontId="35" fillId="0" borderId="0" xfId="0" applyFont="1" applyFill="1"/>
    <xf numFmtId="3" fontId="0" fillId="0" borderId="0" xfId="0" applyNumberFormat="1" applyFill="1"/>
    <xf numFmtId="6" fontId="28" fillId="0" borderId="1" xfId="0" applyNumberFormat="1" applyFont="1" applyFill="1" applyBorder="1" applyAlignment="1">
      <alignment horizontal="right" vertical="center" wrapText="1"/>
    </xf>
    <xf numFmtId="0" fontId="29" fillId="0" borderId="0" xfId="0" applyFont="1" applyFill="1"/>
    <xf numFmtId="3" fontId="29" fillId="0" borderId="0" xfId="0" applyNumberFormat="1" applyFont="1"/>
    <xf numFmtId="0" fontId="38" fillId="2" borderId="9" xfId="0" applyFont="1" applyFill="1" applyBorder="1" applyAlignment="1">
      <alignment horizontal="center" vertical="center" wrapText="1"/>
    </xf>
    <xf numFmtId="1" fontId="10" fillId="0" borderId="3" xfId="0" applyNumberFormat="1" applyFont="1" applyBorder="1" applyAlignment="1">
      <alignment horizontal="center" vertical="center" wrapText="1"/>
    </xf>
    <xf numFmtId="8" fontId="0" fillId="0" borderId="0" xfId="0" applyNumberFormat="1"/>
    <xf numFmtId="167" fontId="5" fillId="0" borderId="0" xfId="0" applyNumberFormat="1" applyFont="1" applyFill="1" applyBorder="1" applyAlignment="1">
      <alignment horizontal="center" vertical="center"/>
    </xf>
    <xf numFmtId="0" fontId="6" fillId="0" borderId="12" xfId="0" applyFont="1" applyFill="1" applyBorder="1" applyAlignment="1">
      <alignment horizontal="center" vertical="center" wrapText="1"/>
    </xf>
    <xf numFmtId="167" fontId="33" fillId="0" borderId="13" xfId="0" applyNumberFormat="1" applyFont="1" applyFill="1" applyBorder="1" applyAlignment="1">
      <alignment horizontal="center" vertical="center"/>
    </xf>
    <xf numFmtId="0" fontId="35" fillId="0" borderId="0" xfId="0" applyFont="1"/>
    <xf numFmtId="0" fontId="35" fillId="0" borderId="0" xfId="0" applyFont="1" applyFill="1" applyBorder="1"/>
    <xf numFmtId="0" fontId="15" fillId="0" borderId="0" xfId="0" applyFont="1" applyBorder="1" applyAlignment="1">
      <alignment horizontal="center" vertical="center" wrapText="1"/>
    </xf>
    <xf numFmtId="3" fontId="15" fillId="0" borderId="0" xfId="0" applyNumberFormat="1" applyFont="1" applyBorder="1" applyAlignment="1">
      <alignment horizontal="center" vertical="center" wrapText="1"/>
    </xf>
    <xf numFmtId="3" fontId="35" fillId="0" borderId="0" xfId="0" applyNumberFormat="1" applyFont="1"/>
    <xf numFmtId="6" fontId="35" fillId="0" borderId="0" xfId="0" applyNumberFormat="1" applyFont="1"/>
    <xf numFmtId="0" fontId="39" fillId="0" borderId="0" xfId="0" applyFont="1"/>
    <xf numFmtId="3" fontId="12" fillId="0" borderId="0" xfId="0" applyNumberFormat="1" applyFont="1" applyBorder="1" applyAlignment="1">
      <alignment horizontal="center" vertical="center" wrapText="1"/>
    </xf>
    <xf numFmtId="3" fontId="39" fillId="0" borderId="0" xfId="0" applyNumberFormat="1" applyFont="1"/>
    <xf numFmtId="0" fontId="12" fillId="0" borderId="0" xfId="0" applyFont="1" applyBorder="1" applyAlignment="1">
      <alignment horizontal="center" vertical="center" wrapText="1"/>
    </xf>
    <xf numFmtId="0" fontId="39" fillId="0" borderId="0" xfId="0" applyFont="1" applyFill="1"/>
    <xf numFmtId="6" fontId="39" fillId="0" borderId="0" xfId="0" applyNumberFormat="1" applyFont="1" applyFill="1"/>
    <xf numFmtId="0" fontId="31" fillId="0" borderId="1" xfId="0" applyFont="1" applyFill="1" applyBorder="1" applyAlignment="1">
      <alignment horizontal="left" vertical="center" wrapText="1" indent="1"/>
    </xf>
    <xf numFmtId="0" fontId="40" fillId="0" borderId="0" xfId="0" applyFont="1"/>
    <xf numFmtId="0" fontId="41" fillId="2" borderId="0" xfId="0" applyFont="1" applyFill="1"/>
    <xf numFmtId="0" fontId="40" fillId="0" borderId="0" xfId="0" applyFont="1" applyFill="1"/>
    <xf numFmtId="0" fontId="41" fillId="0" borderId="0" xfId="0" applyFont="1" applyFill="1"/>
    <xf numFmtId="0" fontId="41" fillId="2" borderId="0" xfId="0" applyFont="1" applyFill="1" applyBorder="1"/>
    <xf numFmtId="0" fontId="40" fillId="0" borderId="0" xfId="0" applyFont="1" applyBorder="1"/>
    <xf numFmtId="0" fontId="42" fillId="0" borderId="0" xfId="0" applyFont="1" applyFill="1"/>
    <xf numFmtId="0" fontId="41" fillId="2" borderId="0" xfId="0" applyFont="1" applyFill="1" applyAlignment="1">
      <alignment wrapText="1"/>
    </xf>
    <xf numFmtId="0" fontId="44" fillId="2" borderId="9" xfId="0" applyFont="1" applyFill="1" applyBorder="1" applyAlignment="1">
      <alignment horizontal="center" vertical="center" wrapText="1"/>
    </xf>
    <xf numFmtId="0" fontId="41" fillId="2" borderId="0" xfId="0" applyFont="1" applyFill="1" applyBorder="1" applyAlignment="1">
      <alignment wrapText="1"/>
    </xf>
    <xf numFmtId="0" fontId="45" fillId="0" borderId="1" xfId="0" applyFont="1" applyFill="1" applyBorder="1" applyAlignment="1">
      <alignment vertical="center"/>
    </xf>
    <xf numFmtId="0" fontId="45" fillId="0" borderId="1" xfId="0" applyFont="1" applyBorder="1" applyAlignment="1">
      <alignment vertical="center"/>
    </xf>
    <xf numFmtId="0" fontId="43" fillId="0" borderId="10" xfId="0" applyFont="1" applyFill="1" applyBorder="1"/>
    <xf numFmtId="0" fontId="43" fillId="0" borderId="15" xfId="0" applyFont="1" applyFill="1" applyBorder="1"/>
    <xf numFmtId="0" fontId="43" fillId="0" borderId="0" xfId="0" applyFont="1"/>
    <xf numFmtId="0" fontId="0" fillId="0" borderId="0" xfId="0" applyFont="1"/>
    <xf numFmtId="0" fontId="0" fillId="0" borderId="1" xfId="0" applyFont="1" applyFill="1" applyBorder="1"/>
    <xf numFmtId="0" fontId="0" fillId="0" borderId="17" xfId="0" applyFont="1" applyFill="1" applyBorder="1"/>
    <xf numFmtId="0" fontId="0" fillId="0" borderId="19" xfId="0" applyFont="1" applyFill="1" applyBorder="1"/>
    <xf numFmtId="0" fontId="0" fillId="0" borderId="20" xfId="0" applyFont="1" applyFill="1" applyBorder="1"/>
    <xf numFmtId="0" fontId="0" fillId="0" borderId="8" xfId="0" applyFont="1" applyFill="1" applyBorder="1"/>
    <xf numFmtId="0" fontId="0" fillId="0" borderId="22" xfId="0" applyFont="1" applyFill="1" applyBorder="1"/>
    <xf numFmtId="0" fontId="0" fillId="0" borderId="24" xfId="0" applyFont="1" applyFill="1" applyBorder="1"/>
    <xf numFmtId="0" fontId="0" fillId="0" borderId="25" xfId="0" applyFont="1" applyFill="1" applyBorder="1"/>
    <xf numFmtId="0" fontId="46" fillId="0" borderId="0" xfId="0" applyFont="1" applyBorder="1" applyAlignment="1">
      <alignment horizontal="left" vertical="center"/>
    </xf>
    <xf numFmtId="0" fontId="47" fillId="0" borderId="26" xfId="0" applyFont="1" applyBorder="1" applyAlignment="1">
      <alignment vertical="center"/>
    </xf>
    <xf numFmtId="0" fontId="46" fillId="0" borderId="29"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32" xfId="0" applyFont="1" applyBorder="1" applyAlignment="1">
      <alignment horizontal="center" vertical="center" wrapText="1"/>
    </xf>
    <xf numFmtId="0" fontId="43" fillId="0" borderId="14" xfId="0" applyFont="1" applyFill="1" applyBorder="1" applyAlignment="1">
      <alignment wrapText="1"/>
    </xf>
    <xf numFmtId="0" fontId="43" fillId="0" borderId="10" xfId="0" applyFont="1" applyFill="1" applyBorder="1" applyAlignment="1">
      <alignment wrapText="1"/>
    </xf>
    <xf numFmtId="0" fontId="0" fillId="0" borderId="16" xfId="0" applyFont="1" applyFill="1" applyBorder="1" applyAlignment="1">
      <alignment horizontal="left"/>
    </xf>
    <xf numFmtId="0" fontId="0" fillId="0" borderId="1" xfId="0" applyNumberFormat="1" applyFont="1" applyFill="1" applyBorder="1"/>
    <xf numFmtId="0" fontId="0" fillId="0" borderId="18" xfId="0" applyFont="1" applyFill="1" applyBorder="1" applyAlignment="1">
      <alignment horizontal="left"/>
    </xf>
    <xf numFmtId="0" fontId="0" fillId="0" borderId="19" xfId="0" applyNumberFormat="1" applyFont="1" applyFill="1" applyBorder="1"/>
    <xf numFmtId="0" fontId="0" fillId="0" borderId="21" xfId="0" applyFont="1" applyFill="1" applyBorder="1" applyAlignment="1">
      <alignment horizontal="left"/>
    </xf>
    <xf numFmtId="0" fontId="0" fillId="0" borderId="8" xfId="0" applyNumberFormat="1" applyFont="1" applyFill="1" applyBorder="1"/>
    <xf numFmtId="0" fontId="43" fillId="0" borderId="23" xfId="0" applyFont="1" applyFill="1" applyBorder="1" applyAlignment="1">
      <alignment horizontal="left"/>
    </xf>
    <xf numFmtId="0" fontId="43" fillId="0" borderId="24" xfId="0" applyNumberFormat="1" applyFont="1" applyFill="1" applyBorder="1"/>
    <xf numFmtId="2" fontId="31" fillId="2"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2" fontId="12" fillId="0" borderId="1" xfId="0" applyNumberFormat="1" applyFont="1" applyBorder="1" applyAlignment="1">
      <alignment horizontal="center" vertical="center" wrapText="1"/>
    </xf>
    <xf numFmtId="2" fontId="20" fillId="0" borderId="1" xfId="0" applyNumberFormat="1" applyFont="1" applyBorder="1" applyAlignment="1">
      <alignment horizontal="center" vertical="center" wrapText="1"/>
    </xf>
    <xf numFmtId="0" fontId="47" fillId="0" borderId="31" xfId="0" applyNumberFormat="1" applyFont="1" applyBorder="1" applyAlignment="1">
      <alignment horizontal="center" vertical="center"/>
    </xf>
    <xf numFmtId="0" fontId="0" fillId="0" borderId="3" xfId="0" applyNumberFormat="1" applyFont="1" applyBorder="1" applyAlignment="1">
      <alignment horizontal="center" vertical="center"/>
    </xf>
    <xf numFmtId="0" fontId="0" fillId="0" borderId="32" xfId="0" applyNumberFormat="1" applyFont="1" applyBorder="1" applyAlignment="1">
      <alignment horizontal="center" vertical="center"/>
    </xf>
    <xf numFmtId="0" fontId="46" fillId="0" borderId="33" xfId="0" applyNumberFormat="1" applyFont="1" applyBorder="1" applyAlignment="1">
      <alignment horizontal="center" vertical="center"/>
    </xf>
    <xf numFmtId="0" fontId="43" fillId="0" borderId="34" xfId="0" applyNumberFormat="1" applyFont="1" applyBorder="1" applyAlignment="1">
      <alignment horizontal="center" vertical="center"/>
    </xf>
    <xf numFmtId="2" fontId="43" fillId="0" borderId="34" xfId="0" applyNumberFormat="1" applyFont="1" applyBorder="1" applyAlignment="1">
      <alignment horizontal="center" vertical="center"/>
    </xf>
    <xf numFmtId="2" fontId="43" fillId="0" borderId="35" xfId="0" applyNumberFormat="1" applyFont="1" applyBorder="1" applyAlignment="1">
      <alignment horizontal="center" vertical="center"/>
    </xf>
    <xf numFmtId="0" fontId="36" fillId="0" borderId="0" xfId="0" applyFont="1" applyFill="1" applyAlignment="1">
      <alignment vertical="center"/>
    </xf>
    <xf numFmtId="0" fontId="37" fillId="0" borderId="0" xfId="0" applyFont="1" applyFill="1" applyAlignment="1">
      <alignment vertical="center"/>
    </xf>
    <xf numFmtId="0" fontId="37" fillId="0" borderId="0" xfId="0" applyFont="1" applyAlignment="1">
      <alignment vertical="center"/>
    </xf>
    <xf numFmtId="0" fontId="31" fillId="0" borderId="1" xfId="0" applyFont="1" applyBorder="1" applyAlignment="1">
      <alignment vertical="center" wrapText="1"/>
    </xf>
    <xf numFmtId="0" fontId="31" fillId="0" borderId="1" xfId="0" applyFont="1" applyBorder="1" applyAlignment="1">
      <alignment horizontal="right" vertical="center" wrapText="1" indent="1"/>
    </xf>
    <xf numFmtId="0" fontId="53" fillId="0" borderId="1" xfId="0" applyFont="1" applyBorder="1" applyAlignment="1">
      <alignment vertical="center"/>
    </xf>
    <xf numFmtId="0" fontId="28" fillId="0" borderId="1" xfId="0" applyFont="1" applyBorder="1" applyAlignment="1">
      <alignment vertical="center"/>
    </xf>
    <xf numFmtId="0" fontId="28"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54" fillId="0" borderId="3" xfId="0" applyFont="1" applyBorder="1" applyAlignment="1">
      <alignment vertical="center" wrapText="1"/>
    </xf>
    <xf numFmtId="0" fontId="36" fillId="0" borderId="0" xfId="0" applyFont="1" applyFill="1" applyAlignment="1">
      <alignment vertical="center" wrapText="1"/>
    </xf>
    <xf numFmtId="0" fontId="29" fillId="0" borderId="0" xfId="0" applyFont="1" applyFill="1" applyAlignment="1">
      <alignment wrapText="1"/>
    </xf>
    <xf numFmtId="0" fontId="29" fillId="0" borderId="0" xfId="0" applyFont="1" applyAlignment="1">
      <alignment wrapText="1"/>
    </xf>
    <xf numFmtId="0" fontId="37" fillId="0" borderId="0" xfId="0" applyFont="1" applyFill="1" applyAlignment="1">
      <alignment vertical="center" wrapText="1"/>
    </xf>
    <xf numFmtId="0" fontId="39" fillId="0" borderId="0" xfId="0" applyFont="1" applyFill="1" applyAlignment="1">
      <alignment wrapText="1"/>
    </xf>
    <xf numFmtId="0" fontId="39" fillId="0" borderId="0" xfId="0" applyFont="1" applyAlignment="1">
      <alignment wrapText="1"/>
    </xf>
    <xf numFmtId="3" fontId="28" fillId="0" borderId="1" xfId="0" applyNumberFormat="1" applyFont="1" applyBorder="1" applyAlignment="1">
      <alignment horizontal="center" vertical="center" wrapText="1"/>
    </xf>
    <xf numFmtId="166" fontId="18" fillId="0" borderId="2" xfId="1" applyFont="1" applyFill="1" applyBorder="1" applyAlignment="1">
      <alignment horizontal="left" wrapText="1"/>
    </xf>
    <xf numFmtId="166" fontId="19" fillId="0" borderId="2" xfId="1" applyFont="1" applyFill="1" applyBorder="1" applyAlignment="1">
      <alignment horizontal="left" wrapText="1"/>
    </xf>
    <xf numFmtId="0" fontId="17" fillId="0" borderId="1" xfId="0" applyFont="1" applyFill="1" applyBorder="1" applyAlignment="1"/>
    <xf numFmtId="3" fontId="28" fillId="0" borderId="1" xfId="0" applyNumberFormat="1" applyFont="1" applyFill="1" applyBorder="1" applyAlignment="1">
      <alignment horizontal="center" vertical="center" wrapText="1"/>
    </xf>
    <xf numFmtId="0" fontId="32" fillId="0" borderId="0" xfId="0" applyFont="1" applyAlignment="1">
      <alignment vertical="center" wrapText="1"/>
    </xf>
    <xf numFmtId="0" fontId="0" fillId="0" borderId="0" xfId="0" applyAlignment="1">
      <alignment wrapText="1"/>
    </xf>
    <xf numFmtId="0" fontId="11" fillId="0" borderId="4" xfId="2" applyFont="1" applyFill="1" applyBorder="1" applyAlignment="1">
      <alignment horizontal="left" wrapText="1"/>
    </xf>
    <xf numFmtId="0" fontId="28" fillId="0" borderId="1" xfId="0" applyFont="1" applyFill="1" applyBorder="1" applyAlignment="1">
      <alignment horizontal="center" vertical="center" wrapText="1"/>
    </xf>
    <xf numFmtId="0" fontId="6" fillId="0" borderId="3" xfId="0" applyFont="1" applyBorder="1" applyAlignment="1">
      <alignment horizontal="left" vertical="center" wrapText="1"/>
    </xf>
    <xf numFmtId="0" fontId="9" fillId="0" borderId="11" xfId="0" applyFont="1" applyBorder="1" applyAlignment="1">
      <alignment vertical="center" wrapText="1"/>
    </xf>
    <xf numFmtId="0" fontId="0" fillId="0" borderId="11" xfId="0" applyBorder="1" applyAlignment="1">
      <alignment wrapText="1"/>
    </xf>
    <xf numFmtId="0" fontId="9" fillId="0" borderId="0" xfId="0" applyFont="1" applyAlignment="1">
      <alignment vertical="center" wrapText="1"/>
    </xf>
    <xf numFmtId="0" fontId="46"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46" fillId="0" borderId="27" xfId="0" applyFont="1" applyBorder="1" applyAlignment="1">
      <alignment horizontal="center" vertical="center"/>
    </xf>
    <xf numFmtId="0" fontId="0" fillId="0" borderId="30" xfId="0" applyFont="1" applyBorder="1" applyAlignment="1">
      <alignment horizontal="center" vertical="center"/>
    </xf>
  </cellXfs>
  <cellStyles count="4">
    <cellStyle name="Normal" xfId="0" builtinId="0"/>
    <cellStyle name="Normal_HMIWI EG SS" xfId="3"/>
    <cellStyle name="Normal_ICR Cost Inputs" xfId="2"/>
    <cellStyle name="Normal_SSI Burden Estimate BML 06071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tabSelected="1" topLeftCell="A49" zoomScaleNormal="100" workbookViewId="0">
      <selection activeCell="K17" sqref="K17"/>
    </sheetView>
  </sheetViews>
  <sheetFormatPr defaultRowHeight="15" x14ac:dyDescent="0.25"/>
  <cols>
    <col min="1" max="1" width="47.7109375" customWidth="1"/>
    <col min="2" max="2" width="9.28515625" customWidth="1"/>
    <col min="3" max="3" width="10.28515625" customWidth="1"/>
    <col min="4" max="4" width="10.140625" customWidth="1"/>
    <col min="5" max="5" width="11" customWidth="1"/>
    <col min="6" max="6" width="10.5703125" customWidth="1"/>
    <col min="7" max="7" width="11.5703125" customWidth="1"/>
    <col min="8" max="8" width="11" customWidth="1"/>
    <col min="9" max="9" width="13.28515625" customWidth="1"/>
    <col min="10" max="10" width="29.5703125" style="111" customWidth="1"/>
    <col min="11" max="11" width="10.85546875" customWidth="1"/>
    <col min="12" max="12" width="12" customWidth="1"/>
    <col min="13" max="13" width="12.7109375" style="98" customWidth="1"/>
    <col min="14" max="14" width="12.42578125" style="98" customWidth="1"/>
    <col min="15" max="15" width="10" style="98" bestFit="1" customWidth="1"/>
    <col min="16" max="16" width="5.140625" style="98" customWidth="1"/>
    <col min="17" max="17" width="7.28515625" customWidth="1"/>
  </cols>
  <sheetData>
    <row r="1" spans="1:16" ht="15.75" x14ac:dyDescent="0.25">
      <c r="A1" s="28" t="s">
        <v>77</v>
      </c>
      <c r="B1" s="46"/>
      <c r="C1" s="46"/>
      <c r="D1" s="46"/>
      <c r="E1" s="46"/>
      <c r="F1" s="46"/>
      <c r="G1" s="46"/>
      <c r="H1" s="46"/>
      <c r="I1" s="46"/>
    </row>
    <row r="2" spans="1:16" ht="76.5" x14ac:dyDescent="0.25">
      <c r="A2" s="47" t="s">
        <v>0</v>
      </c>
      <c r="B2" s="48" t="s">
        <v>48</v>
      </c>
      <c r="C2" s="48" t="s">
        <v>49</v>
      </c>
      <c r="D2" s="48" t="s">
        <v>50</v>
      </c>
      <c r="E2" s="48" t="s">
        <v>92</v>
      </c>
      <c r="F2" s="48" t="s">
        <v>51</v>
      </c>
      <c r="G2" s="48" t="s">
        <v>52</v>
      </c>
      <c r="H2" s="48" t="s">
        <v>53</v>
      </c>
      <c r="I2" s="48" t="s">
        <v>93</v>
      </c>
      <c r="J2" s="119" t="s">
        <v>217</v>
      </c>
      <c r="K2" s="72"/>
      <c r="L2" s="9"/>
      <c r="M2" s="78"/>
      <c r="N2" s="79"/>
      <c r="O2" s="10"/>
      <c r="P2" s="10"/>
    </row>
    <row r="3" spans="1:16" x14ac:dyDescent="0.25">
      <c r="A3" s="49" t="s">
        <v>6</v>
      </c>
      <c r="B3" s="50" t="s">
        <v>7</v>
      </c>
      <c r="C3" s="50"/>
      <c r="D3" s="50"/>
      <c r="E3" s="50"/>
      <c r="F3" s="50"/>
      <c r="G3" s="50"/>
      <c r="H3" s="50"/>
      <c r="I3" s="51"/>
      <c r="K3" s="9" t="s">
        <v>54</v>
      </c>
      <c r="L3" s="11">
        <f>M10</f>
        <v>117.91499999999999</v>
      </c>
      <c r="M3" s="99"/>
      <c r="N3" s="99"/>
      <c r="P3" s="11"/>
    </row>
    <row r="4" spans="1:16" x14ac:dyDescent="0.25">
      <c r="A4" s="49" t="s">
        <v>8</v>
      </c>
      <c r="B4" s="50" t="s">
        <v>7</v>
      </c>
      <c r="C4" s="50"/>
      <c r="D4" s="50"/>
      <c r="E4" s="50"/>
      <c r="F4" s="50"/>
      <c r="G4" s="50"/>
      <c r="H4" s="50"/>
      <c r="I4" s="51"/>
      <c r="K4" s="9" t="s">
        <v>55</v>
      </c>
      <c r="L4" s="11">
        <f>M9</f>
        <v>147.399</v>
      </c>
      <c r="M4" s="99"/>
      <c r="N4" s="99"/>
      <c r="P4" s="11"/>
    </row>
    <row r="5" spans="1:16" x14ac:dyDescent="0.25">
      <c r="A5" s="49" t="s">
        <v>9</v>
      </c>
      <c r="B5" s="50"/>
      <c r="C5" s="50"/>
      <c r="D5" s="50"/>
      <c r="E5" s="50"/>
      <c r="F5" s="50"/>
      <c r="G5" s="50"/>
      <c r="H5" s="50"/>
      <c r="I5" s="51"/>
      <c r="K5" s="9" t="s">
        <v>56</v>
      </c>
      <c r="L5" s="11">
        <f>M11</f>
        <v>57.015000000000001</v>
      </c>
      <c r="M5" s="99"/>
      <c r="N5" s="99"/>
      <c r="P5" s="11"/>
    </row>
    <row r="6" spans="1:16" ht="57" x14ac:dyDescent="0.25">
      <c r="A6" s="52" t="s">
        <v>129</v>
      </c>
      <c r="B6" s="60">
        <v>1</v>
      </c>
      <c r="C6" s="58">
        <v>1</v>
      </c>
      <c r="D6" s="56">
        <f>B6*C6</f>
        <v>1</v>
      </c>
      <c r="E6" s="58">
        <f>'Count of Respondents'!C7</f>
        <v>107</v>
      </c>
      <c r="F6" s="54">
        <f>D6*E6</f>
        <v>107</v>
      </c>
      <c r="G6" s="53">
        <f>F6*0.05</f>
        <v>5.3500000000000005</v>
      </c>
      <c r="H6" s="53">
        <f>F6*0.1</f>
        <v>10.700000000000001</v>
      </c>
      <c r="I6" s="74">
        <f>F6*$L$3+G6*$L$4+H6*$L$5</f>
        <v>14015.550149999999</v>
      </c>
      <c r="J6" s="118" t="s">
        <v>175</v>
      </c>
    </row>
    <row r="7" spans="1:16" ht="45.75" customHeight="1" x14ac:dyDescent="0.25">
      <c r="A7" s="52" t="s">
        <v>94</v>
      </c>
      <c r="B7" s="50"/>
      <c r="C7" s="50"/>
      <c r="D7" s="50"/>
      <c r="E7" s="50"/>
      <c r="F7" s="50"/>
      <c r="G7" s="50"/>
      <c r="H7" s="50"/>
      <c r="I7" s="51"/>
      <c r="K7" s="179" t="s">
        <v>174</v>
      </c>
      <c r="L7" s="180"/>
      <c r="M7" s="180"/>
    </row>
    <row r="8" spans="1:16" ht="38.25" x14ac:dyDescent="0.25">
      <c r="A8" s="55" t="s">
        <v>10</v>
      </c>
      <c r="B8" s="58">
        <v>24</v>
      </c>
      <c r="C8" s="50">
        <v>1</v>
      </c>
      <c r="D8" s="53">
        <f t="shared" ref="D8:D11" si="0">B8*C8</f>
        <v>24</v>
      </c>
      <c r="E8" s="60">
        <v>25</v>
      </c>
      <c r="F8" s="54">
        <f>D8*E8</f>
        <v>600</v>
      </c>
      <c r="G8" s="56">
        <f>F8*0.05</f>
        <v>30</v>
      </c>
      <c r="H8" s="56">
        <f>F8*0.1</f>
        <v>60</v>
      </c>
      <c r="I8" s="57">
        <v>71559</v>
      </c>
      <c r="J8" s="112" t="s">
        <v>130</v>
      </c>
      <c r="K8" s="12" t="s">
        <v>57</v>
      </c>
      <c r="L8" s="12" t="s">
        <v>58</v>
      </c>
      <c r="M8" s="12" t="s">
        <v>115</v>
      </c>
    </row>
    <row r="9" spans="1:16" x14ac:dyDescent="0.25">
      <c r="A9" s="55" t="s">
        <v>11</v>
      </c>
      <c r="B9" s="58">
        <v>24</v>
      </c>
      <c r="C9" s="50">
        <v>2</v>
      </c>
      <c r="D9" s="53">
        <f t="shared" si="0"/>
        <v>48</v>
      </c>
      <c r="E9" s="60">
        <v>25</v>
      </c>
      <c r="F9" s="54">
        <f>D9*E9</f>
        <v>1200</v>
      </c>
      <c r="G9" s="56">
        <f>F9*0.05</f>
        <v>60</v>
      </c>
      <c r="H9" s="56">
        <f>F9*0.1</f>
        <v>120</v>
      </c>
      <c r="I9" s="74">
        <f>F9*$L$3+G9*$L$4+H9*$L$5</f>
        <v>157183.74</v>
      </c>
      <c r="K9" s="13" t="s">
        <v>59</v>
      </c>
      <c r="L9" s="14">
        <v>70.19</v>
      </c>
      <c r="M9" s="14">
        <f>L9+1.1*L9</f>
        <v>147.399</v>
      </c>
    </row>
    <row r="10" spans="1:16" x14ac:dyDescent="0.25">
      <c r="A10" s="55" t="s">
        <v>12</v>
      </c>
      <c r="B10" s="58">
        <v>24</v>
      </c>
      <c r="C10" s="50">
        <v>1</v>
      </c>
      <c r="D10" s="53">
        <f t="shared" si="0"/>
        <v>24</v>
      </c>
      <c r="E10" s="58">
        <v>5</v>
      </c>
      <c r="F10" s="54">
        <f>D10*E10</f>
        <v>120</v>
      </c>
      <c r="G10" s="56">
        <f>F10*0.05</f>
        <v>6</v>
      </c>
      <c r="H10" s="56">
        <f>F10*0.1</f>
        <v>12</v>
      </c>
      <c r="I10" s="74">
        <f>F10*$L$3+G10*$L$4+H10*$L$5</f>
        <v>15718.374</v>
      </c>
      <c r="J10" s="113"/>
      <c r="K10" s="13" t="s">
        <v>60</v>
      </c>
      <c r="L10" s="14">
        <v>56.15</v>
      </c>
      <c r="M10" s="14">
        <f>L10+1.1*L10</f>
        <v>117.91499999999999</v>
      </c>
    </row>
    <row r="11" spans="1:16" x14ac:dyDescent="0.25">
      <c r="A11" s="55" t="s">
        <v>13</v>
      </c>
      <c r="B11" s="58">
        <v>24</v>
      </c>
      <c r="C11" s="50">
        <v>2</v>
      </c>
      <c r="D11" s="53">
        <f t="shared" si="0"/>
        <v>48</v>
      </c>
      <c r="E11" s="58">
        <v>5</v>
      </c>
      <c r="F11" s="54">
        <f>D11*E11</f>
        <v>240</v>
      </c>
      <c r="G11" s="56">
        <f>F11*0.05</f>
        <v>12</v>
      </c>
      <c r="H11" s="56">
        <f>F11*0.1</f>
        <v>24</v>
      </c>
      <c r="I11" s="74">
        <f>F11*$L$3+G11*$L$4+H11*$L$5</f>
        <v>31436.748</v>
      </c>
      <c r="K11" s="13" t="s">
        <v>61</v>
      </c>
      <c r="L11" s="14">
        <v>27.15</v>
      </c>
      <c r="M11" s="14">
        <f>L11+1.1*L11</f>
        <v>57.015000000000001</v>
      </c>
    </row>
    <row r="12" spans="1:16" x14ac:dyDescent="0.25">
      <c r="A12" s="52" t="s">
        <v>14</v>
      </c>
      <c r="B12" s="50" t="s">
        <v>15</v>
      </c>
      <c r="C12" s="50"/>
      <c r="D12" s="50"/>
      <c r="E12" s="50"/>
      <c r="F12" s="50"/>
      <c r="G12" s="58"/>
      <c r="H12" s="58"/>
      <c r="I12" s="51"/>
    </row>
    <row r="13" spans="1:16" x14ac:dyDescent="0.25">
      <c r="A13" s="52" t="s">
        <v>16</v>
      </c>
      <c r="B13" s="50" t="s">
        <v>15</v>
      </c>
      <c r="C13" s="50"/>
      <c r="D13" s="50"/>
      <c r="E13" s="50"/>
      <c r="F13" s="50"/>
      <c r="G13" s="58"/>
      <c r="H13" s="58"/>
      <c r="I13" s="51"/>
    </row>
    <row r="14" spans="1:16" x14ac:dyDescent="0.25">
      <c r="A14" s="52" t="s">
        <v>137</v>
      </c>
      <c r="B14" s="50"/>
      <c r="C14" s="50"/>
      <c r="D14" s="50"/>
      <c r="E14" s="50"/>
      <c r="F14" s="50"/>
      <c r="G14" s="58"/>
      <c r="H14" s="58"/>
      <c r="I14" s="51"/>
      <c r="K14" s="181" t="s">
        <v>62</v>
      </c>
      <c r="L14" s="181"/>
    </row>
    <row r="15" spans="1:16" ht="15.75" x14ac:dyDescent="0.25">
      <c r="A15" s="59" t="s">
        <v>178</v>
      </c>
      <c r="B15" s="50"/>
      <c r="C15" s="50"/>
      <c r="D15" s="50"/>
      <c r="E15" s="50"/>
      <c r="F15" s="50"/>
      <c r="G15" s="58"/>
      <c r="H15" s="58"/>
      <c r="I15" s="51"/>
      <c r="K15" s="15">
        <f>F50</f>
        <v>122000</v>
      </c>
      <c r="L15" s="16" t="s">
        <v>63</v>
      </c>
    </row>
    <row r="16" spans="1:16" x14ac:dyDescent="0.25">
      <c r="A16" s="68" t="s">
        <v>17</v>
      </c>
      <c r="B16" s="58">
        <v>2</v>
      </c>
      <c r="C16" s="58">
        <v>1</v>
      </c>
      <c r="D16" s="56">
        <f t="shared" ref="D16:D22" si="1">B16*C16</f>
        <v>2</v>
      </c>
      <c r="E16" s="151">
        <f>'Count of Respondents'!B7</f>
        <v>1.3333333333333333</v>
      </c>
      <c r="F16" s="54">
        <f t="shared" ref="F16:F22" si="2">D16*E16</f>
        <v>2.6666666666666665</v>
      </c>
      <c r="G16" s="152">
        <f t="shared" ref="G16:G22" si="3">F16*0.05</f>
        <v>0.13333333333333333</v>
      </c>
      <c r="H16" s="152">
        <f t="shared" ref="H16:H22" si="4">F16*0.1</f>
        <v>0.26666666666666666</v>
      </c>
      <c r="I16" s="74">
        <f t="shared" ref="I16:I22" si="5">F16*$L$3+G16*$L$4+H16*$L$5</f>
        <v>349.29719999999992</v>
      </c>
      <c r="J16" s="112" t="s">
        <v>131</v>
      </c>
      <c r="K16" s="15">
        <f>'# Responses'!E14</f>
        <v>348.33333333333331</v>
      </c>
      <c r="L16" s="16" t="s">
        <v>64</v>
      </c>
    </row>
    <row r="17" spans="1:12" x14ac:dyDescent="0.25">
      <c r="A17" s="68" t="s">
        <v>18</v>
      </c>
      <c r="B17" s="58">
        <v>2</v>
      </c>
      <c r="C17" s="58">
        <v>1</v>
      </c>
      <c r="D17" s="56">
        <f t="shared" si="1"/>
        <v>2</v>
      </c>
      <c r="E17" s="151">
        <f>'Count of Respondents'!B7</f>
        <v>1.3333333333333333</v>
      </c>
      <c r="F17" s="54">
        <f t="shared" si="2"/>
        <v>2.6666666666666665</v>
      </c>
      <c r="G17" s="152">
        <f t="shared" si="3"/>
        <v>0.13333333333333333</v>
      </c>
      <c r="H17" s="152">
        <f t="shared" si="4"/>
        <v>0.26666666666666666</v>
      </c>
      <c r="I17" s="74">
        <f t="shared" si="5"/>
        <v>349.29719999999992</v>
      </c>
      <c r="J17" s="112" t="s">
        <v>131</v>
      </c>
      <c r="K17" s="15">
        <f>K15/K16</f>
        <v>350.23923444976077</v>
      </c>
      <c r="L17" s="16" t="s">
        <v>65</v>
      </c>
    </row>
    <row r="18" spans="1:12" x14ac:dyDescent="0.25">
      <c r="A18" s="68" t="s">
        <v>19</v>
      </c>
      <c r="B18" s="58">
        <v>2</v>
      </c>
      <c r="C18" s="58">
        <v>1</v>
      </c>
      <c r="D18" s="56">
        <f t="shared" si="1"/>
        <v>2</v>
      </c>
      <c r="E18" s="151">
        <f>'Count of Respondents'!B7</f>
        <v>1.3333333333333333</v>
      </c>
      <c r="F18" s="54">
        <f t="shared" si="2"/>
        <v>2.6666666666666665</v>
      </c>
      <c r="G18" s="152">
        <f t="shared" si="3"/>
        <v>0.13333333333333333</v>
      </c>
      <c r="H18" s="152">
        <f t="shared" si="4"/>
        <v>0.26666666666666666</v>
      </c>
      <c r="I18" s="74">
        <f t="shared" si="5"/>
        <v>349.29719999999992</v>
      </c>
      <c r="J18" s="112" t="s">
        <v>131</v>
      </c>
    </row>
    <row r="19" spans="1:12" x14ac:dyDescent="0.25">
      <c r="A19" s="68" t="s">
        <v>20</v>
      </c>
      <c r="B19" s="58">
        <v>80</v>
      </c>
      <c r="C19" s="58">
        <v>1</v>
      </c>
      <c r="D19" s="56">
        <f t="shared" si="1"/>
        <v>80</v>
      </c>
      <c r="E19" s="151">
        <f>'Count of Respondents'!B7</f>
        <v>1.3333333333333333</v>
      </c>
      <c r="F19" s="54">
        <f t="shared" si="2"/>
        <v>106.66666666666666</v>
      </c>
      <c r="G19" s="152">
        <f t="shared" si="3"/>
        <v>5.333333333333333</v>
      </c>
      <c r="H19" s="152">
        <f t="shared" si="4"/>
        <v>10.666666666666666</v>
      </c>
      <c r="I19" s="74">
        <f t="shared" si="5"/>
        <v>13971.887999999999</v>
      </c>
      <c r="J19" s="112" t="s">
        <v>131</v>
      </c>
    </row>
    <row r="20" spans="1:12" x14ac:dyDescent="0.25">
      <c r="A20" s="68" t="s">
        <v>21</v>
      </c>
      <c r="B20" s="58">
        <v>2</v>
      </c>
      <c r="C20" s="58">
        <v>1</v>
      </c>
      <c r="D20" s="56">
        <f t="shared" si="1"/>
        <v>2</v>
      </c>
      <c r="E20" s="58">
        <v>43</v>
      </c>
      <c r="F20" s="54">
        <f t="shared" si="2"/>
        <v>86</v>
      </c>
      <c r="G20" s="56">
        <f t="shared" si="3"/>
        <v>4.3</v>
      </c>
      <c r="H20" s="56">
        <f t="shared" si="4"/>
        <v>8.6</v>
      </c>
      <c r="I20" s="74">
        <f t="shared" si="5"/>
        <v>11264.834699999998</v>
      </c>
    </row>
    <row r="21" spans="1:12" x14ac:dyDescent="0.25">
      <c r="A21" s="68" t="s">
        <v>22</v>
      </c>
      <c r="B21" s="58">
        <v>2</v>
      </c>
      <c r="C21" s="58">
        <v>1</v>
      </c>
      <c r="D21" s="56">
        <f t="shared" si="1"/>
        <v>2</v>
      </c>
      <c r="E21" s="58">
        <v>43</v>
      </c>
      <c r="F21" s="54">
        <f t="shared" si="2"/>
        <v>86</v>
      </c>
      <c r="G21" s="56">
        <f t="shared" si="3"/>
        <v>4.3</v>
      </c>
      <c r="H21" s="56">
        <f t="shared" si="4"/>
        <v>8.6</v>
      </c>
      <c r="I21" s="74">
        <f t="shared" si="5"/>
        <v>11264.834699999998</v>
      </c>
    </row>
    <row r="22" spans="1:12" ht="28.5" x14ac:dyDescent="0.25">
      <c r="A22" s="73" t="s">
        <v>110</v>
      </c>
      <c r="B22" s="58">
        <v>8</v>
      </c>
      <c r="C22" s="58">
        <v>1</v>
      </c>
      <c r="D22" s="56">
        <f t="shared" si="1"/>
        <v>8</v>
      </c>
      <c r="E22" s="58">
        <v>43</v>
      </c>
      <c r="F22" s="54">
        <f t="shared" si="2"/>
        <v>344</v>
      </c>
      <c r="G22" s="56">
        <f t="shared" si="3"/>
        <v>17.2</v>
      </c>
      <c r="H22" s="56">
        <f t="shared" si="4"/>
        <v>34.4</v>
      </c>
      <c r="I22" s="74">
        <f t="shared" si="5"/>
        <v>45059.33879999999</v>
      </c>
    </row>
    <row r="23" spans="1:12" ht="15.75" x14ac:dyDescent="0.25">
      <c r="A23" s="69" t="s">
        <v>111</v>
      </c>
      <c r="B23" s="58"/>
      <c r="C23" s="58"/>
      <c r="D23" s="58"/>
      <c r="E23" s="58"/>
      <c r="F23" s="50"/>
      <c r="G23" s="58"/>
      <c r="H23" s="58"/>
      <c r="I23" s="51"/>
    </row>
    <row r="24" spans="1:12" ht="25.5" x14ac:dyDescent="0.25">
      <c r="A24" s="68" t="s">
        <v>112</v>
      </c>
      <c r="B24" s="58">
        <v>16</v>
      </c>
      <c r="C24" s="58">
        <v>2</v>
      </c>
      <c r="D24" s="56">
        <f t="shared" ref="D24:D25" si="6">B24*C24</f>
        <v>32</v>
      </c>
      <c r="E24" s="56">
        <v>5</v>
      </c>
      <c r="F24" s="54">
        <f>D24*E24</f>
        <v>160</v>
      </c>
      <c r="G24" s="53">
        <f>F24*0.05</f>
        <v>8</v>
      </c>
      <c r="H24" s="53">
        <f>F24*0.1</f>
        <v>16</v>
      </c>
      <c r="I24" s="74">
        <f>F24*$L$3+G24*$L$4+H24*$L$5</f>
        <v>20957.831999999999</v>
      </c>
    </row>
    <row r="25" spans="1:12" x14ac:dyDescent="0.25">
      <c r="A25" s="70" t="s">
        <v>113</v>
      </c>
      <c r="B25" s="58">
        <v>8</v>
      </c>
      <c r="C25" s="58">
        <v>2</v>
      </c>
      <c r="D25" s="56">
        <f t="shared" si="6"/>
        <v>16</v>
      </c>
      <c r="E25" s="56">
        <v>102</v>
      </c>
      <c r="F25" s="54">
        <f>D25*E25</f>
        <v>1632</v>
      </c>
      <c r="G25" s="53">
        <f>F25*0.05</f>
        <v>81.600000000000009</v>
      </c>
      <c r="H25" s="53">
        <f>F25*0.1</f>
        <v>163.20000000000002</v>
      </c>
      <c r="I25" s="74">
        <f>F25*$L$3+G25*$L$4+H25*$L$5</f>
        <v>213769.88639999999</v>
      </c>
      <c r="J25" s="113"/>
    </row>
    <row r="26" spans="1:12" x14ac:dyDescent="0.25">
      <c r="A26" s="121" t="s">
        <v>23</v>
      </c>
      <c r="B26" s="58"/>
      <c r="C26" s="58"/>
      <c r="D26" s="58"/>
      <c r="E26" s="71"/>
      <c r="F26" s="178">
        <f>SUM(F6:H25)</f>
        <v>5393.1166666666668</v>
      </c>
      <c r="G26" s="178"/>
      <c r="H26" s="178"/>
      <c r="I26" s="61">
        <f>SUM(I6:I25)</f>
        <v>607249.91834999982</v>
      </c>
      <c r="J26" s="113"/>
      <c r="K26" s="17"/>
      <c r="L26" s="8"/>
    </row>
    <row r="27" spans="1:12" x14ac:dyDescent="0.25">
      <c r="A27" s="49" t="s">
        <v>24</v>
      </c>
      <c r="B27" s="50"/>
      <c r="C27" s="50"/>
      <c r="D27" s="50"/>
      <c r="E27" s="50"/>
      <c r="F27" s="50"/>
      <c r="G27" s="50"/>
      <c r="H27" s="50"/>
      <c r="I27" s="51"/>
    </row>
    <row r="28" spans="1:12" x14ac:dyDescent="0.25">
      <c r="A28" s="52" t="s">
        <v>25</v>
      </c>
      <c r="B28" s="50" t="s">
        <v>26</v>
      </c>
      <c r="C28" s="50"/>
      <c r="D28" s="50"/>
      <c r="E28" s="50"/>
      <c r="F28" s="50"/>
      <c r="G28" s="50"/>
      <c r="H28" s="50"/>
      <c r="I28" s="51"/>
    </row>
    <row r="29" spans="1:12" x14ac:dyDescent="0.25">
      <c r="A29" s="52" t="s">
        <v>27</v>
      </c>
      <c r="B29" s="50" t="s">
        <v>15</v>
      </c>
      <c r="C29" s="50"/>
      <c r="D29" s="50"/>
      <c r="E29" s="50"/>
      <c r="F29" s="50"/>
      <c r="G29" s="50"/>
      <c r="H29" s="50"/>
      <c r="I29" s="51"/>
    </row>
    <row r="30" spans="1:12" x14ac:dyDescent="0.25">
      <c r="A30" s="52" t="s">
        <v>28</v>
      </c>
      <c r="B30" s="50" t="s">
        <v>15</v>
      </c>
      <c r="C30" s="50"/>
      <c r="D30" s="50"/>
      <c r="E30" s="50"/>
      <c r="F30" s="50"/>
      <c r="G30" s="50"/>
      <c r="H30" s="50"/>
      <c r="I30" s="51"/>
    </row>
    <row r="31" spans="1:12" ht="15.75" x14ac:dyDescent="0.25">
      <c r="A31" s="52" t="s">
        <v>95</v>
      </c>
      <c r="B31" s="58">
        <v>40</v>
      </c>
      <c r="C31" s="50">
        <v>1</v>
      </c>
      <c r="D31" s="53">
        <f>B31*C31</f>
        <v>40</v>
      </c>
      <c r="E31" s="151">
        <f>'Count of Respondents'!B7</f>
        <v>1.3333333333333333</v>
      </c>
      <c r="F31" s="54">
        <f>D31*E31</f>
        <v>53.333333333333329</v>
      </c>
      <c r="G31" s="50">
        <v>2</v>
      </c>
      <c r="H31" s="153">
        <f>F31*0.1</f>
        <v>5.333333333333333</v>
      </c>
      <c r="I31" s="74">
        <f>F31*$L$3+G31*$L$4+H31*$L$5</f>
        <v>6887.677999999999</v>
      </c>
      <c r="J31" s="112" t="s">
        <v>131</v>
      </c>
    </row>
    <row r="32" spans="1:12" x14ac:dyDescent="0.25">
      <c r="A32" s="52" t="s">
        <v>29</v>
      </c>
      <c r="B32" s="58"/>
      <c r="C32" s="50"/>
      <c r="D32" s="50"/>
      <c r="E32" s="50"/>
      <c r="F32" s="50"/>
      <c r="G32" s="50"/>
      <c r="H32" s="50"/>
      <c r="I32" s="51"/>
    </row>
    <row r="33" spans="1:16" ht="28.5" x14ac:dyDescent="0.25">
      <c r="A33" s="59" t="s">
        <v>96</v>
      </c>
      <c r="B33" s="58">
        <v>8</v>
      </c>
      <c r="C33" s="50">
        <v>1</v>
      </c>
      <c r="D33" s="53">
        <f t="shared" ref="D33:D47" si="7">B33*C33</f>
        <v>8</v>
      </c>
      <c r="E33" s="58">
        <v>43</v>
      </c>
      <c r="F33" s="54">
        <f t="shared" ref="F33:F40" si="8">D33*E33</f>
        <v>344</v>
      </c>
      <c r="G33" s="50">
        <v>17</v>
      </c>
      <c r="H33" s="56">
        <f t="shared" ref="H33:H40" si="9">F33*0.1</f>
        <v>34.4</v>
      </c>
      <c r="I33" s="74">
        <f t="shared" ref="I33:I40" si="10">F33*$L$3+G33*$L$4+H33*$L$5</f>
        <v>45029.858999999997</v>
      </c>
      <c r="J33" s="113"/>
    </row>
    <row r="34" spans="1:16" x14ac:dyDescent="0.25">
      <c r="A34" s="59" t="s">
        <v>30</v>
      </c>
      <c r="B34" s="58">
        <v>2</v>
      </c>
      <c r="C34" s="50">
        <v>1</v>
      </c>
      <c r="D34" s="53">
        <f t="shared" si="7"/>
        <v>2</v>
      </c>
      <c r="E34" s="58">
        <v>43</v>
      </c>
      <c r="F34" s="54">
        <f t="shared" si="8"/>
        <v>86</v>
      </c>
      <c r="G34" s="50">
        <v>4.3</v>
      </c>
      <c r="H34" s="53">
        <f t="shared" si="9"/>
        <v>8.6</v>
      </c>
      <c r="I34" s="74">
        <f t="shared" si="10"/>
        <v>11264.834699999998</v>
      </c>
      <c r="J34" s="113"/>
    </row>
    <row r="35" spans="1:16" ht="62.25" customHeight="1" x14ac:dyDescent="0.25">
      <c r="A35" s="59" t="s">
        <v>97</v>
      </c>
      <c r="B35" s="58">
        <v>2</v>
      </c>
      <c r="C35" s="50">
        <v>1</v>
      </c>
      <c r="D35" s="53">
        <f t="shared" si="7"/>
        <v>2</v>
      </c>
      <c r="E35" s="60">
        <v>1</v>
      </c>
      <c r="F35" s="62">
        <f t="shared" si="8"/>
        <v>2</v>
      </c>
      <c r="G35" s="50">
        <v>7.0000000000000007E-2</v>
      </c>
      <c r="H35" s="53">
        <f t="shared" si="9"/>
        <v>0.2</v>
      </c>
      <c r="I35" s="74">
        <f t="shared" si="10"/>
        <v>257.55092999999999</v>
      </c>
      <c r="J35" s="112" t="s">
        <v>132</v>
      </c>
      <c r="O35" s="100"/>
      <c r="P35" s="100"/>
    </row>
    <row r="36" spans="1:16" ht="39.75" customHeight="1" x14ac:dyDescent="0.25">
      <c r="A36" s="59" t="s">
        <v>114</v>
      </c>
      <c r="B36" s="58">
        <v>8</v>
      </c>
      <c r="C36" s="50">
        <v>2</v>
      </c>
      <c r="D36" s="53">
        <f t="shared" si="7"/>
        <v>16</v>
      </c>
      <c r="E36" s="60">
        <v>183.67</v>
      </c>
      <c r="F36" s="54">
        <f t="shared" si="8"/>
        <v>2938.72</v>
      </c>
      <c r="G36" s="50">
        <v>146</v>
      </c>
      <c r="H36" s="56">
        <f t="shared" si="9"/>
        <v>293.87200000000001</v>
      </c>
      <c r="I36" s="74">
        <f t="shared" si="10"/>
        <v>384794.53487999993</v>
      </c>
      <c r="J36" s="112" t="s">
        <v>133</v>
      </c>
      <c r="O36" s="100"/>
      <c r="P36" s="100"/>
    </row>
    <row r="37" spans="1:16" ht="15.75" x14ac:dyDescent="0.25">
      <c r="A37" s="55" t="s">
        <v>98</v>
      </c>
      <c r="B37" s="58">
        <v>2</v>
      </c>
      <c r="C37" s="50">
        <v>12</v>
      </c>
      <c r="D37" s="53">
        <f t="shared" si="7"/>
        <v>24</v>
      </c>
      <c r="E37" s="58">
        <v>5</v>
      </c>
      <c r="F37" s="54">
        <f t="shared" si="8"/>
        <v>120</v>
      </c>
      <c r="G37" s="50">
        <v>6</v>
      </c>
      <c r="H37" s="56">
        <f t="shared" si="9"/>
        <v>12</v>
      </c>
      <c r="I37" s="74">
        <f t="shared" si="10"/>
        <v>15718.374</v>
      </c>
      <c r="J37" s="113"/>
      <c r="O37" s="100"/>
      <c r="P37" s="100"/>
    </row>
    <row r="38" spans="1:16" ht="28.5" x14ac:dyDescent="0.25">
      <c r="A38" s="59" t="s">
        <v>99</v>
      </c>
      <c r="B38" s="58">
        <v>1.5</v>
      </c>
      <c r="C38" s="50">
        <v>52</v>
      </c>
      <c r="D38" s="53">
        <f t="shared" si="7"/>
        <v>78</v>
      </c>
      <c r="E38" s="58">
        <v>104</v>
      </c>
      <c r="F38" s="54">
        <f t="shared" si="8"/>
        <v>8112</v>
      </c>
      <c r="G38" s="50">
        <v>406</v>
      </c>
      <c r="H38" s="56">
        <f t="shared" si="9"/>
        <v>811.2</v>
      </c>
      <c r="I38" s="74">
        <f t="shared" si="10"/>
        <v>1062621.0419999999</v>
      </c>
      <c r="J38" s="113"/>
      <c r="O38" s="100"/>
      <c r="P38" s="100"/>
    </row>
    <row r="39" spans="1:16" ht="15.75" x14ac:dyDescent="0.25">
      <c r="A39" s="55" t="s">
        <v>100</v>
      </c>
      <c r="B39" s="58">
        <v>1.5</v>
      </c>
      <c r="C39" s="50">
        <v>52</v>
      </c>
      <c r="D39" s="53">
        <f t="shared" si="7"/>
        <v>78</v>
      </c>
      <c r="E39" s="58">
        <v>98</v>
      </c>
      <c r="F39" s="54">
        <f t="shared" si="8"/>
        <v>7644</v>
      </c>
      <c r="G39" s="50">
        <v>382</v>
      </c>
      <c r="H39" s="56">
        <f t="shared" si="9"/>
        <v>764.40000000000009</v>
      </c>
      <c r="I39" s="74">
        <f t="shared" si="10"/>
        <v>1001230.9439999999</v>
      </c>
      <c r="J39" s="113"/>
      <c r="O39" s="100"/>
      <c r="P39" s="100"/>
    </row>
    <row r="40" spans="1:16" ht="15.75" x14ac:dyDescent="0.25">
      <c r="A40" s="55" t="s">
        <v>101</v>
      </c>
      <c r="B40" s="58">
        <v>0.5</v>
      </c>
      <c r="C40" s="63">
        <v>1050</v>
      </c>
      <c r="D40" s="53">
        <f t="shared" si="7"/>
        <v>525</v>
      </c>
      <c r="E40" s="151">
        <f>'Count of Respondents'!F7</f>
        <v>107.33333333333333</v>
      </c>
      <c r="F40" s="54">
        <f t="shared" si="8"/>
        <v>56350</v>
      </c>
      <c r="G40" s="63">
        <v>2809</v>
      </c>
      <c r="H40" s="56">
        <f t="shared" si="9"/>
        <v>5635</v>
      </c>
      <c r="I40" s="74">
        <f t="shared" si="10"/>
        <v>7379833.5660000006</v>
      </c>
      <c r="J40" s="112" t="s">
        <v>134</v>
      </c>
      <c r="O40" s="101"/>
      <c r="P40" s="100"/>
    </row>
    <row r="41" spans="1:16" x14ac:dyDescent="0.25">
      <c r="A41" s="64" t="s">
        <v>31</v>
      </c>
      <c r="B41" s="58"/>
      <c r="C41" s="50"/>
      <c r="D41" s="50"/>
      <c r="E41" s="50"/>
      <c r="F41" s="50"/>
      <c r="G41" s="50"/>
      <c r="H41" s="58"/>
      <c r="I41" s="51"/>
      <c r="J41" s="113"/>
      <c r="O41" s="100"/>
      <c r="P41" s="100"/>
    </row>
    <row r="42" spans="1:16" ht="15.75" x14ac:dyDescent="0.25">
      <c r="A42" s="73" t="s">
        <v>102</v>
      </c>
      <c r="B42" s="58">
        <v>40</v>
      </c>
      <c r="C42" s="50">
        <v>1</v>
      </c>
      <c r="D42" s="53">
        <f t="shared" si="7"/>
        <v>40</v>
      </c>
      <c r="E42" s="151">
        <f>'Count of Respondents'!B7</f>
        <v>1.3333333333333333</v>
      </c>
      <c r="F42" s="54">
        <f>D42*E42</f>
        <v>53.333333333333329</v>
      </c>
      <c r="G42" s="50">
        <v>2</v>
      </c>
      <c r="H42" s="152">
        <f>F42*0.1</f>
        <v>5.333333333333333</v>
      </c>
      <c r="I42" s="74">
        <f>F42*$L$3+G42*$L$4+H42*$L$5</f>
        <v>6887.677999999999</v>
      </c>
      <c r="J42" s="112" t="s">
        <v>131</v>
      </c>
      <c r="M42" s="102"/>
      <c r="N42" s="103"/>
      <c r="O42" s="101"/>
      <c r="P42" s="100"/>
    </row>
    <row r="43" spans="1:16" ht="15.75" x14ac:dyDescent="0.25">
      <c r="A43" s="69" t="s">
        <v>103</v>
      </c>
      <c r="B43" s="50">
        <v>16</v>
      </c>
      <c r="C43" s="50">
        <v>1</v>
      </c>
      <c r="D43" s="53">
        <f t="shared" si="7"/>
        <v>16</v>
      </c>
      <c r="E43" s="50">
        <f>'Count of Respondents'!C7</f>
        <v>107</v>
      </c>
      <c r="F43" s="54">
        <f>D43*E43</f>
        <v>1712</v>
      </c>
      <c r="G43" s="50">
        <v>86</v>
      </c>
      <c r="H43" s="56">
        <f>F43*0.1</f>
        <v>171.20000000000002</v>
      </c>
      <c r="I43" s="74">
        <f>F43*$L$3+G43*$L$4+H43*$L$5</f>
        <v>224307.76199999999</v>
      </c>
      <c r="J43" s="113"/>
      <c r="N43" s="103"/>
      <c r="O43" s="101"/>
      <c r="P43" s="100"/>
    </row>
    <row r="44" spans="1:16" ht="83.25" customHeight="1" x14ac:dyDescent="0.25">
      <c r="A44" s="110" t="s">
        <v>104</v>
      </c>
      <c r="B44" s="60">
        <v>17.8</v>
      </c>
      <c r="C44" s="50">
        <v>1</v>
      </c>
      <c r="D44" s="53">
        <f t="shared" si="7"/>
        <v>17.8</v>
      </c>
      <c r="E44" s="58">
        <f>'Count of Respondents'!C7</f>
        <v>107</v>
      </c>
      <c r="F44" s="54">
        <f>D44*E44</f>
        <v>1904.6000000000001</v>
      </c>
      <c r="G44" s="50">
        <v>144</v>
      </c>
      <c r="H44" s="56">
        <f>F44*0.1</f>
        <v>190.46000000000004</v>
      </c>
      <c r="I44" s="74">
        <f>F44*$L$3+G44*$L$4+H44*$L$5</f>
        <v>256665.44190000003</v>
      </c>
      <c r="J44" s="118" t="s">
        <v>183</v>
      </c>
    </row>
    <row r="45" spans="1:16" x14ac:dyDescent="0.25">
      <c r="A45" s="52" t="s">
        <v>32</v>
      </c>
      <c r="B45" s="50"/>
      <c r="C45" s="50"/>
      <c r="D45" s="50"/>
      <c r="E45" s="50"/>
      <c r="F45" s="50"/>
      <c r="G45" s="50"/>
      <c r="H45" s="58"/>
      <c r="I45" s="51"/>
      <c r="J45" s="113"/>
    </row>
    <row r="46" spans="1:16" ht="15.75" x14ac:dyDescent="0.25">
      <c r="A46" s="55" t="s">
        <v>105</v>
      </c>
      <c r="B46" s="58">
        <v>96</v>
      </c>
      <c r="C46" s="50">
        <v>2</v>
      </c>
      <c r="D46" s="53">
        <f t="shared" si="7"/>
        <v>192</v>
      </c>
      <c r="E46" s="151">
        <f>'Count of Respondents'!F7</f>
        <v>107.33333333333333</v>
      </c>
      <c r="F46" s="54">
        <f>D46*E46</f>
        <v>20608</v>
      </c>
      <c r="G46" s="63">
        <v>1027</v>
      </c>
      <c r="H46" s="56">
        <f>F46*0.1</f>
        <v>2060.8000000000002</v>
      </c>
      <c r="I46" s="74">
        <f>F46*$L$3+G46*$L$4+H46*$L$5</f>
        <v>2698867.605</v>
      </c>
      <c r="J46" s="112" t="s">
        <v>134</v>
      </c>
    </row>
    <row r="47" spans="1:16" ht="15.75" x14ac:dyDescent="0.25">
      <c r="A47" s="55" t="s">
        <v>106</v>
      </c>
      <c r="B47" s="58">
        <v>8</v>
      </c>
      <c r="C47" s="50">
        <v>2</v>
      </c>
      <c r="D47" s="53">
        <f t="shared" si="7"/>
        <v>16</v>
      </c>
      <c r="E47" s="151">
        <f>'Count of Respondents'!F7</f>
        <v>107.33333333333333</v>
      </c>
      <c r="F47" s="54">
        <f>D47*E47</f>
        <v>1717.3333333333333</v>
      </c>
      <c r="G47" s="50">
        <v>86</v>
      </c>
      <c r="H47" s="152">
        <f>F47*0.1</f>
        <v>171.73333333333335</v>
      </c>
      <c r="I47" s="74">
        <f>F47*$L$3+G47*$L$4+H47*$L$5</f>
        <v>224967.05</v>
      </c>
      <c r="J47" s="112" t="s">
        <v>134</v>
      </c>
    </row>
    <row r="48" spans="1:16" x14ac:dyDescent="0.25">
      <c r="A48" s="52" t="s">
        <v>33</v>
      </c>
      <c r="B48" s="50" t="s">
        <v>7</v>
      </c>
      <c r="C48" s="50"/>
      <c r="D48" s="50"/>
      <c r="E48" s="50"/>
      <c r="F48" s="50"/>
      <c r="G48" s="50"/>
      <c r="H48" s="50"/>
      <c r="I48" s="51"/>
      <c r="O48" s="101"/>
      <c r="P48" s="100"/>
    </row>
    <row r="49" spans="1:22" x14ac:dyDescent="0.25">
      <c r="A49" s="122" t="s">
        <v>34</v>
      </c>
      <c r="B49" s="50"/>
      <c r="C49" s="50"/>
      <c r="D49" s="50"/>
      <c r="E49" s="50"/>
      <c r="F49" s="182">
        <f>SUM(F31:H48)</f>
        <v>116927.22200000001</v>
      </c>
      <c r="G49" s="182"/>
      <c r="H49" s="182"/>
      <c r="I49" s="89">
        <f>SUM(I31:I47)</f>
        <v>13319333.920410002</v>
      </c>
      <c r="J49" s="114"/>
      <c r="O49" s="100"/>
      <c r="P49" s="100"/>
    </row>
    <row r="50" spans="1:22" ht="78.75" customHeight="1" x14ac:dyDescent="0.25">
      <c r="A50" s="65" t="s">
        <v>107</v>
      </c>
      <c r="B50" s="50"/>
      <c r="C50" s="50"/>
      <c r="D50" s="50"/>
      <c r="E50" s="50"/>
      <c r="F50" s="178">
        <f>ROUND(SUM(F49,F26), -3)</f>
        <v>122000</v>
      </c>
      <c r="G50" s="178"/>
      <c r="H50" s="178"/>
      <c r="I50" s="84">
        <f>ROUND(SUM(I49,I26), -5)</f>
        <v>13900000</v>
      </c>
      <c r="J50" s="120" t="s">
        <v>170</v>
      </c>
      <c r="K50" s="91"/>
      <c r="L50" s="46"/>
      <c r="M50" s="104"/>
      <c r="N50" s="104"/>
      <c r="O50" s="105"/>
      <c r="P50" s="105"/>
      <c r="Q50" s="90"/>
      <c r="R50" s="46"/>
      <c r="S50" s="46"/>
      <c r="T50" s="46"/>
      <c r="U50" s="46"/>
      <c r="V50" s="46"/>
    </row>
    <row r="51" spans="1:22" ht="15.75" x14ac:dyDescent="0.25">
      <c r="A51" s="65" t="s">
        <v>108</v>
      </c>
      <c r="B51" s="66"/>
      <c r="C51" s="66"/>
      <c r="D51" s="66"/>
      <c r="E51" s="66"/>
      <c r="F51" s="66"/>
      <c r="G51" s="66"/>
      <c r="H51" s="66"/>
      <c r="I51" s="75">
        <f>ROUND('CapitalStartup Costs'!D10, -2)</f>
        <v>831000</v>
      </c>
      <c r="J51" s="115" t="s">
        <v>136</v>
      </c>
      <c r="K51" s="17"/>
      <c r="O51" s="100"/>
      <c r="P51" s="100"/>
    </row>
    <row r="52" spans="1:22" ht="15.75" x14ac:dyDescent="0.25">
      <c r="A52" s="67" t="s">
        <v>109</v>
      </c>
      <c r="B52" s="66"/>
      <c r="C52" s="66"/>
      <c r="D52" s="66"/>
      <c r="E52" s="66"/>
      <c r="F52" s="66"/>
      <c r="G52" s="66"/>
      <c r="H52" s="66"/>
      <c r="I52" s="76">
        <f>ROUND(I50+I51, -5)</f>
        <v>14700000</v>
      </c>
      <c r="J52" s="115" t="s">
        <v>135</v>
      </c>
      <c r="K52" s="17"/>
      <c r="L52" s="46"/>
      <c r="M52" s="106"/>
      <c r="N52" s="104"/>
      <c r="O52" s="107"/>
      <c r="P52" s="100"/>
    </row>
    <row r="53" spans="1:22" x14ac:dyDescent="0.25">
      <c r="A53" s="3"/>
      <c r="B53" s="4"/>
      <c r="C53" s="4"/>
      <c r="D53" s="4"/>
      <c r="E53" s="4"/>
      <c r="F53" s="5"/>
      <c r="G53" s="5"/>
      <c r="H53" s="5"/>
      <c r="I53" s="6"/>
      <c r="J53" s="116"/>
      <c r="K53" s="17"/>
      <c r="L53" s="46"/>
      <c r="M53" s="104"/>
      <c r="N53" s="104"/>
      <c r="O53" s="105"/>
      <c r="P53" s="100"/>
    </row>
    <row r="54" spans="1:22" s="43" customFormat="1" ht="56.45" customHeight="1" x14ac:dyDescent="0.25">
      <c r="A54" s="172" t="s">
        <v>171</v>
      </c>
      <c r="B54" s="173"/>
      <c r="C54" s="173"/>
      <c r="D54" s="173"/>
      <c r="E54" s="173"/>
      <c r="F54" s="173"/>
      <c r="G54" s="173"/>
      <c r="H54" s="173"/>
      <c r="I54" s="173"/>
      <c r="J54" s="113"/>
      <c r="K54" s="88"/>
      <c r="L54" s="90"/>
      <c r="M54" s="108"/>
      <c r="N54" s="109"/>
      <c r="O54" s="108"/>
      <c r="P54" s="87"/>
    </row>
    <row r="55" spans="1:22" ht="42" customHeight="1" x14ac:dyDescent="0.25">
      <c r="A55" s="172" t="s">
        <v>184</v>
      </c>
      <c r="B55" s="173"/>
      <c r="C55" s="173"/>
      <c r="D55" s="173"/>
      <c r="E55" s="173"/>
      <c r="F55" s="173"/>
      <c r="G55" s="173"/>
      <c r="H55" s="173"/>
      <c r="I55" s="173"/>
      <c r="L55" s="46"/>
      <c r="M55" s="104"/>
      <c r="N55" s="104"/>
      <c r="O55" s="104"/>
    </row>
    <row r="56" spans="1:22" ht="15.75" x14ac:dyDescent="0.25">
      <c r="A56" s="162" t="s">
        <v>185</v>
      </c>
      <c r="B56" s="90"/>
      <c r="C56" s="90"/>
      <c r="D56" s="90"/>
      <c r="E56" s="90"/>
      <c r="F56" s="90"/>
      <c r="G56" s="90"/>
      <c r="H56" s="90"/>
      <c r="I56" s="90"/>
      <c r="J56" s="113"/>
    </row>
    <row r="57" spans="1:22" ht="52.5" customHeight="1" x14ac:dyDescent="0.25">
      <c r="A57" s="172" t="s">
        <v>186</v>
      </c>
      <c r="B57" s="173"/>
      <c r="C57" s="173"/>
      <c r="D57" s="173"/>
      <c r="E57" s="173"/>
      <c r="F57" s="173"/>
      <c r="G57" s="173"/>
      <c r="H57" s="173"/>
      <c r="I57" s="173"/>
      <c r="K57" s="17"/>
    </row>
    <row r="58" spans="1:22" ht="15.75" x14ac:dyDescent="0.25">
      <c r="A58" s="162" t="s">
        <v>187</v>
      </c>
      <c r="B58" s="90"/>
      <c r="C58" s="90"/>
      <c r="D58" s="90"/>
      <c r="E58" s="90"/>
      <c r="F58" s="90"/>
      <c r="G58" s="90"/>
      <c r="H58" s="90"/>
      <c r="I58" s="90"/>
    </row>
    <row r="59" spans="1:22" ht="15.75" x14ac:dyDescent="0.25">
      <c r="A59" s="162" t="s">
        <v>188</v>
      </c>
      <c r="B59" s="90"/>
      <c r="C59" s="90"/>
      <c r="D59" s="90"/>
      <c r="E59" s="90"/>
      <c r="F59" s="90"/>
      <c r="G59" s="90"/>
      <c r="H59" s="90"/>
      <c r="I59" s="90"/>
    </row>
    <row r="60" spans="1:22" ht="50.45" customHeight="1" x14ac:dyDescent="0.25">
      <c r="A60" s="175" t="s">
        <v>189</v>
      </c>
      <c r="B60" s="176"/>
      <c r="C60" s="176"/>
      <c r="D60" s="176"/>
      <c r="E60" s="176"/>
      <c r="F60" s="176"/>
      <c r="G60" s="176"/>
      <c r="H60" s="176"/>
      <c r="I60" s="176"/>
    </row>
    <row r="61" spans="1:22" ht="26.25" customHeight="1" x14ac:dyDescent="0.25">
      <c r="A61" s="172" t="s">
        <v>190</v>
      </c>
      <c r="B61" s="174"/>
      <c r="C61" s="174"/>
      <c r="D61" s="174"/>
      <c r="E61" s="174"/>
      <c r="F61" s="174"/>
      <c r="G61" s="174"/>
      <c r="H61" s="174"/>
      <c r="I61" s="174"/>
    </row>
    <row r="62" spans="1:22" ht="45" customHeight="1" x14ac:dyDescent="0.25">
      <c r="A62" s="175" t="s">
        <v>191</v>
      </c>
      <c r="B62" s="176"/>
      <c r="C62" s="176"/>
      <c r="D62" s="176"/>
      <c r="E62" s="176"/>
      <c r="F62" s="176"/>
      <c r="G62" s="176"/>
      <c r="H62" s="176"/>
      <c r="I62" s="176"/>
      <c r="J62" s="117"/>
    </row>
    <row r="63" spans="1:22" ht="15.75" x14ac:dyDescent="0.25">
      <c r="A63" s="162" t="s">
        <v>192</v>
      </c>
      <c r="B63" s="90"/>
      <c r="C63" s="90"/>
      <c r="D63" s="90"/>
      <c r="E63" s="90"/>
      <c r="F63" s="90"/>
      <c r="G63" s="90"/>
      <c r="H63" s="90"/>
      <c r="I63" s="90"/>
    </row>
    <row r="64" spans="1:22" ht="33.6" customHeight="1" x14ac:dyDescent="0.25">
      <c r="A64" s="172" t="s">
        <v>193</v>
      </c>
      <c r="B64" s="173"/>
      <c r="C64" s="173"/>
      <c r="D64" s="173"/>
      <c r="E64" s="173"/>
      <c r="F64" s="173"/>
      <c r="G64" s="173"/>
      <c r="H64" s="173"/>
      <c r="I64" s="173"/>
    </row>
    <row r="65" spans="1:11" ht="41.45" customHeight="1" x14ac:dyDescent="0.25">
      <c r="A65" s="175" t="s">
        <v>194</v>
      </c>
      <c r="B65" s="176"/>
      <c r="C65" s="176"/>
      <c r="D65" s="176"/>
      <c r="E65" s="176"/>
      <c r="F65" s="176"/>
      <c r="G65" s="176"/>
      <c r="H65" s="176"/>
      <c r="I65" s="176"/>
      <c r="J65" s="113"/>
    </row>
    <row r="66" spans="1:11" ht="42.6" customHeight="1" x14ac:dyDescent="0.25">
      <c r="A66" s="175" t="s">
        <v>195</v>
      </c>
      <c r="B66" s="176"/>
      <c r="C66" s="176"/>
      <c r="D66" s="176"/>
      <c r="E66" s="176"/>
      <c r="F66" s="176"/>
      <c r="G66" s="176"/>
      <c r="H66" s="176"/>
      <c r="I66" s="176"/>
      <c r="J66" s="112" t="s">
        <v>180</v>
      </c>
    </row>
    <row r="67" spans="1:11" ht="35.1" customHeight="1" x14ac:dyDescent="0.25">
      <c r="A67" s="175" t="s">
        <v>196</v>
      </c>
      <c r="B67" s="177"/>
      <c r="C67" s="177"/>
      <c r="D67" s="177"/>
      <c r="E67" s="177"/>
      <c r="F67" s="177"/>
      <c r="G67" s="177"/>
      <c r="H67" s="177"/>
      <c r="I67" s="177"/>
      <c r="J67" s="113"/>
      <c r="K67" s="43"/>
    </row>
    <row r="68" spans="1:11" ht="40.5" customHeight="1" x14ac:dyDescent="0.25">
      <c r="A68" s="175" t="s">
        <v>197</v>
      </c>
      <c r="B68" s="176"/>
      <c r="C68" s="176"/>
      <c r="D68" s="176"/>
      <c r="E68" s="176"/>
      <c r="F68" s="176"/>
      <c r="G68" s="176"/>
      <c r="H68" s="176"/>
      <c r="I68" s="176"/>
      <c r="J68" s="118" t="s">
        <v>181</v>
      </c>
    </row>
    <row r="69" spans="1:11" ht="15.75" x14ac:dyDescent="0.25">
      <c r="A69" s="163" t="s">
        <v>198</v>
      </c>
      <c r="B69" s="108"/>
      <c r="C69" s="108"/>
      <c r="D69" s="108"/>
      <c r="E69" s="108"/>
      <c r="F69" s="108"/>
      <c r="G69" s="108"/>
      <c r="H69" s="108"/>
      <c r="I69" s="108"/>
      <c r="J69" s="112" t="s">
        <v>182</v>
      </c>
    </row>
    <row r="70" spans="1:11" ht="33.950000000000003" customHeight="1" x14ac:dyDescent="0.25">
      <c r="A70" s="175" t="s">
        <v>199</v>
      </c>
      <c r="B70" s="176"/>
      <c r="C70" s="176"/>
      <c r="D70" s="176"/>
      <c r="E70" s="176"/>
      <c r="F70" s="176"/>
      <c r="G70" s="176"/>
      <c r="H70" s="176"/>
      <c r="I70" s="176"/>
      <c r="J70" s="114"/>
    </row>
    <row r="71" spans="1:11" ht="15.95" customHeight="1" x14ac:dyDescent="0.25">
      <c r="A71" s="163" t="s">
        <v>200</v>
      </c>
      <c r="B71" s="90"/>
      <c r="C71" s="90"/>
      <c r="D71" s="90"/>
      <c r="E71" s="90"/>
      <c r="F71" s="90"/>
      <c r="G71" s="90"/>
      <c r="H71" s="90"/>
      <c r="I71" s="90"/>
    </row>
    <row r="72" spans="1:11" ht="20.45" customHeight="1" x14ac:dyDescent="0.25">
      <c r="A72" s="162" t="s">
        <v>201</v>
      </c>
      <c r="B72" s="90"/>
      <c r="C72" s="90"/>
      <c r="D72" s="90"/>
      <c r="E72" s="90"/>
      <c r="F72" s="90"/>
      <c r="G72" s="90"/>
      <c r="H72" s="90"/>
      <c r="I72" s="90"/>
    </row>
    <row r="73" spans="1:11" ht="52.5" customHeight="1" x14ac:dyDescent="0.25">
      <c r="A73" s="172" t="s">
        <v>202</v>
      </c>
      <c r="B73" s="173"/>
      <c r="C73" s="173"/>
      <c r="D73" s="173"/>
      <c r="E73" s="173"/>
      <c r="F73" s="173"/>
      <c r="G73" s="173"/>
      <c r="H73" s="173"/>
      <c r="I73" s="173"/>
    </row>
    <row r="74" spans="1:11" ht="15.75" x14ac:dyDescent="0.25">
      <c r="A74" s="163" t="s">
        <v>203</v>
      </c>
      <c r="B74" s="90"/>
      <c r="C74" s="90"/>
      <c r="D74" s="90"/>
      <c r="E74" s="90"/>
      <c r="F74" s="90"/>
      <c r="G74" s="90"/>
      <c r="H74" s="90"/>
      <c r="I74" s="90"/>
    </row>
    <row r="75" spans="1:11" ht="15.75" x14ac:dyDescent="0.25">
      <c r="A75" s="163" t="s">
        <v>204</v>
      </c>
      <c r="B75" s="90"/>
      <c r="C75" s="90"/>
      <c r="D75" s="90"/>
      <c r="E75" s="90"/>
      <c r="F75" s="90"/>
      <c r="G75" s="90"/>
      <c r="H75" s="90"/>
      <c r="I75" s="90"/>
    </row>
    <row r="76" spans="1:11" ht="15.75" x14ac:dyDescent="0.25">
      <c r="A76" s="164" t="s">
        <v>205</v>
      </c>
      <c r="B76" s="46"/>
      <c r="C76" s="46"/>
      <c r="D76" s="46"/>
      <c r="E76" s="46"/>
      <c r="F76" s="46"/>
      <c r="G76" s="46"/>
      <c r="H76" s="46"/>
      <c r="I76" s="46"/>
    </row>
  </sheetData>
  <mergeCells count="18">
    <mergeCell ref="F26:H26"/>
    <mergeCell ref="K7:M7"/>
    <mergeCell ref="K14:L14"/>
    <mergeCell ref="F49:H49"/>
    <mergeCell ref="F50:H50"/>
    <mergeCell ref="A73:I73"/>
    <mergeCell ref="A61:I61"/>
    <mergeCell ref="A54:I54"/>
    <mergeCell ref="A55:I55"/>
    <mergeCell ref="A66:I66"/>
    <mergeCell ref="A68:I68"/>
    <mergeCell ref="A70:I70"/>
    <mergeCell ref="A67:I67"/>
    <mergeCell ref="A57:I57"/>
    <mergeCell ref="A60:I60"/>
    <mergeCell ref="A62:I62"/>
    <mergeCell ref="A65:I65"/>
    <mergeCell ref="A64:I64"/>
  </mergeCells>
  <pageMargins left="0.7" right="0.7" top="0.75" bottom="0.75" header="0.3" footer="0.3"/>
  <pageSetup orientation="portrait" horizontalDpi="4294967293" verticalDpi="0" r:id="rId1"/>
  <ignoredErrors>
    <ignoredError sqref="E16:E19 E31 E40 E42:E44 E46:E47 E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workbookViewId="0">
      <selection activeCell="A25" sqref="A25:I25"/>
    </sheetView>
  </sheetViews>
  <sheetFormatPr defaultRowHeight="15" x14ac:dyDescent="0.25"/>
  <cols>
    <col min="1" max="1" width="37.85546875" customWidth="1"/>
    <col min="9" max="9" width="12.140625" customWidth="1"/>
    <col min="11" max="11" width="19.85546875" customWidth="1"/>
  </cols>
  <sheetData>
    <row r="1" spans="1:17" ht="15.75" x14ac:dyDescent="0.25">
      <c r="A1" s="28" t="s">
        <v>90</v>
      </c>
    </row>
    <row r="2" spans="1:17" ht="89.25" x14ac:dyDescent="0.25">
      <c r="A2" s="29" t="s">
        <v>35</v>
      </c>
      <c r="B2" s="30" t="s">
        <v>78</v>
      </c>
      <c r="C2" s="30" t="s">
        <v>79</v>
      </c>
      <c r="D2" s="30" t="s">
        <v>80</v>
      </c>
      <c r="E2" s="30" t="s">
        <v>81</v>
      </c>
      <c r="F2" s="30" t="s">
        <v>51</v>
      </c>
      <c r="G2" s="30" t="s">
        <v>82</v>
      </c>
      <c r="H2" s="30" t="s">
        <v>83</v>
      </c>
      <c r="I2" s="30" t="s">
        <v>84</v>
      </c>
      <c r="J2" s="92" t="s">
        <v>91</v>
      </c>
    </row>
    <row r="3" spans="1:17" ht="15.75" x14ac:dyDescent="0.25">
      <c r="A3" s="165" t="s">
        <v>206</v>
      </c>
      <c r="B3" s="50">
        <v>24</v>
      </c>
      <c r="C3" s="50">
        <v>1</v>
      </c>
      <c r="D3" s="40">
        <f>B3*C3</f>
        <v>24</v>
      </c>
      <c r="E3" s="50">
        <v>3.6</v>
      </c>
      <c r="F3" s="40">
        <f>D3*E3</f>
        <v>86.4</v>
      </c>
      <c r="G3" s="40">
        <f>F3*0.05</f>
        <v>4.32</v>
      </c>
      <c r="H3" s="40">
        <f>F3*0.1</f>
        <v>8.64</v>
      </c>
      <c r="I3" s="41">
        <f>F3*$L$4+G3*$L$5+H3*$L$6</f>
        <v>4724.0064000000002</v>
      </c>
    </row>
    <row r="4" spans="1:17" ht="15.75" x14ac:dyDescent="0.25">
      <c r="A4" s="165" t="s">
        <v>207</v>
      </c>
      <c r="B4" s="50">
        <v>24</v>
      </c>
      <c r="C4" s="50">
        <v>1</v>
      </c>
      <c r="D4" s="40">
        <f>B4*C4</f>
        <v>24</v>
      </c>
      <c r="E4" s="50">
        <v>0.7</v>
      </c>
      <c r="F4" s="40">
        <f>D4*E4</f>
        <v>16.799999999999997</v>
      </c>
      <c r="G4" s="40">
        <f>F4*0.05</f>
        <v>0.83999999999999986</v>
      </c>
      <c r="H4" s="40">
        <f>F4*0.1</f>
        <v>1.6799999999999997</v>
      </c>
      <c r="I4" s="41">
        <f>F4*$L$4+G4*$L$5+H4*$L$6</f>
        <v>918.55679999999984</v>
      </c>
      <c r="K4" s="9" t="s">
        <v>54</v>
      </c>
      <c r="L4" s="31">
        <f>M9</f>
        <v>48.752000000000002</v>
      </c>
      <c r="M4" s="10"/>
    </row>
    <row r="5" spans="1:17" x14ac:dyDescent="0.25">
      <c r="A5" s="49" t="s">
        <v>36</v>
      </c>
      <c r="B5" s="165"/>
      <c r="C5" s="165"/>
      <c r="D5" s="165"/>
      <c r="E5" s="165"/>
      <c r="F5" s="165"/>
      <c r="G5" s="165"/>
      <c r="H5" s="165"/>
      <c r="I5" s="166"/>
      <c r="K5" s="9" t="s">
        <v>55</v>
      </c>
      <c r="L5" s="31">
        <f>M10</f>
        <v>65.712000000000003</v>
      </c>
      <c r="M5" s="10"/>
    </row>
    <row r="6" spans="1:17" ht="15.75" x14ac:dyDescent="0.25">
      <c r="A6" s="52" t="s">
        <v>208</v>
      </c>
      <c r="B6" s="50">
        <v>2</v>
      </c>
      <c r="C6" s="50">
        <v>1</v>
      </c>
      <c r="D6" s="40">
        <f t="shared" ref="D6:D11" si="0">B6*C6</f>
        <v>2</v>
      </c>
      <c r="E6" s="151">
        <f>'Table 1'!E16</f>
        <v>1.3333333333333333</v>
      </c>
      <c r="F6" s="154">
        <f t="shared" ref="F6:F11" si="1">D6*E6</f>
        <v>2.6666666666666665</v>
      </c>
      <c r="G6" s="154">
        <f t="shared" ref="G6:G11" si="2">F6*0.05</f>
        <v>0.13333333333333333</v>
      </c>
      <c r="H6" s="154">
        <f t="shared" ref="H6:H11" si="3">F6*0.1</f>
        <v>0.26666666666666666</v>
      </c>
      <c r="I6" s="41">
        <f t="shared" ref="I6:I11" si="4">F6*$L$4+G6*$L$5+H6*$L$6</f>
        <v>145.80266666666665</v>
      </c>
      <c r="J6" s="77" t="s">
        <v>117</v>
      </c>
      <c r="K6" s="9" t="s">
        <v>56</v>
      </c>
      <c r="L6" s="31">
        <f>M11</f>
        <v>26.384</v>
      </c>
      <c r="M6" s="10"/>
    </row>
    <row r="7" spans="1:17" ht="63" customHeight="1" thickBot="1" x14ac:dyDescent="0.3">
      <c r="A7" s="52" t="s">
        <v>209</v>
      </c>
      <c r="B7" s="50">
        <v>2</v>
      </c>
      <c r="C7" s="50">
        <v>1</v>
      </c>
      <c r="D7" s="40">
        <f t="shared" si="0"/>
        <v>2</v>
      </c>
      <c r="E7" s="151">
        <f>'Table 1'!E17</f>
        <v>1.3333333333333333</v>
      </c>
      <c r="F7" s="154">
        <f t="shared" si="1"/>
        <v>2.6666666666666665</v>
      </c>
      <c r="G7" s="154">
        <f t="shared" si="2"/>
        <v>0.13333333333333333</v>
      </c>
      <c r="H7" s="154">
        <f t="shared" si="3"/>
        <v>0.26666666666666666</v>
      </c>
      <c r="I7" s="41">
        <f t="shared" si="4"/>
        <v>145.80266666666665</v>
      </c>
      <c r="J7" s="77" t="s">
        <v>117</v>
      </c>
      <c r="K7" s="185" t="s">
        <v>116</v>
      </c>
      <c r="L7" s="185"/>
      <c r="M7" s="185"/>
      <c r="N7" s="42" t="s">
        <v>177</v>
      </c>
    </row>
    <row r="8" spans="1:17" ht="39" thickBot="1" x14ac:dyDescent="0.3">
      <c r="A8" s="52" t="s">
        <v>210</v>
      </c>
      <c r="B8" s="50">
        <v>2</v>
      </c>
      <c r="C8" s="50">
        <v>1</v>
      </c>
      <c r="D8" s="40">
        <f t="shared" si="0"/>
        <v>2</v>
      </c>
      <c r="E8" s="151">
        <f>'Table 1'!E18</f>
        <v>1.3333333333333333</v>
      </c>
      <c r="F8" s="154">
        <f t="shared" si="1"/>
        <v>2.6666666666666665</v>
      </c>
      <c r="G8" s="154">
        <f t="shared" si="2"/>
        <v>0.13333333333333333</v>
      </c>
      <c r="H8" s="154">
        <f t="shared" si="3"/>
        <v>0.26666666666666666</v>
      </c>
      <c r="I8" s="41">
        <f t="shared" si="4"/>
        <v>145.80266666666665</v>
      </c>
      <c r="J8" s="77" t="s">
        <v>117</v>
      </c>
      <c r="K8" s="32"/>
      <c r="L8" s="33" t="s">
        <v>85</v>
      </c>
      <c r="M8" s="34" t="s">
        <v>86</v>
      </c>
    </row>
    <row r="9" spans="1:17" ht="15.75" x14ac:dyDescent="0.25">
      <c r="A9" s="52" t="s">
        <v>211</v>
      </c>
      <c r="B9" s="50">
        <v>2</v>
      </c>
      <c r="C9" s="50">
        <v>1</v>
      </c>
      <c r="D9" s="40">
        <f t="shared" si="0"/>
        <v>2</v>
      </c>
      <c r="E9" s="50">
        <f>'Table 1'!E20</f>
        <v>43</v>
      </c>
      <c r="F9" s="40">
        <f t="shared" si="1"/>
        <v>86</v>
      </c>
      <c r="G9" s="40">
        <f t="shared" si="2"/>
        <v>4.3</v>
      </c>
      <c r="H9" s="40">
        <f t="shared" si="3"/>
        <v>8.6</v>
      </c>
      <c r="I9" s="41">
        <f t="shared" si="4"/>
        <v>4702.1360000000004</v>
      </c>
      <c r="K9" s="35" t="s">
        <v>87</v>
      </c>
      <c r="L9" s="81">
        <v>30.47</v>
      </c>
      <c r="M9" s="36">
        <f>L9*1.6</f>
        <v>48.752000000000002</v>
      </c>
      <c r="P9" s="2"/>
      <c r="Q9" s="83"/>
    </row>
    <row r="10" spans="1:17" ht="15.75" x14ac:dyDescent="0.25">
      <c r="A10" s="52" t="s">
        <v>212</v>
      </c>
      <c r="B10" s="50">
        <v>2</v>
      </c>
      <c r="C10" s="50">
        <v>1</v>
      </c>
      <c r="D10" s="40">
        <f t="shared" si="0"/>
        <v>2</v>
      </c>
      <c r="E10" s="50">
        <f>'Table 1'!E21</f>
        <v>43</v>
      </c>
      <c r="F10" s="40">
        <f t="shared" si="1"/>
        <v>86</v>
      </c>
      <c r="G10" s="40">
        <f t="shared" si="2"/>
        <v>4.3</v>
      </c>
      <c r="H10" s="40">
        <f t="shared" si="3"/>
        <v>8.6</v>
      </c>
      <c r="I10" s="41">
        <f t="shared" si="4"/>
        <v>4702.1360000000004</v>
      </c>
      <c r="K10" s="37" t="s">
        <v>88</v>
      </c>
      <c r="L10" s="82">
        <v>41.07</v>
      </c>
      <c r="M10" s="38">
        <f>L10*1.6</f>
        <v>65.712000000000003</v>
      </c>
      <c r="P10" s="2"/>
      <c r="Q10" s="83"/>
    </row>
    <row r="11" spans="1:17" ht="15.75" x14ac:dyDescent="0.25">
      <c r="A11" s="52" t="s">
        <v>213</v>
      </c>
      <c r="B11" s="50">
        <v>4</v>
      </c>
      <c r="C11" s="50">
        <v>1</v>
      </c>
      <c r="D11" s="40">
        <f t="shared" si="0"/>
        <v>4</v>
      </c>
      <c r="E11" s="151">
        <f>'Table 1'!E19</f>
        <v>1.3333333333333333</v>
      </c>
      <c r="F11" s="154">
        <f t="shared" si="1"/>
        <v>5.333333333333333</v>
      </c>
      <c r="G11" s="154">
        <f t="shared" si="2"/>
        <v>0.26666666666666666</v>
      </c>
      <c r="H11" s="154">
        <f t="shared" si="3"/>
        <v>0.53333333333333333</v>
      </c>
      <c r="I11" s="41">
        <f t="shared" si="4"/>
        <v>291.60533333333331</v>
      </c>
      <c r="J11" s="77" t="s">
        <v>117</v>
      </c>
      <c r="K11" s="39" t="s">
        <v>89</v>
      </c>
      <c r="L11" s="82">
        <v>16.489999999999998</v>
      </c>
      <c r="M11" s="38">
        <f>L11*1.6</f>
        <v>26.384</v>
      </c>
      <c r="P11" s="2"/>
      <c r="Q11" s="83"/>
    </row>
    <row r="12" spans="1:17" x14ac:dyDescent="0.25">
      <c r="A12" s="52" t="s">
        <v>37</v>
      </c>
      <c r="B12" s="165"/>
      <c r="C12" s="165"/>
      <c r="D12" s="50"/>
      <c r="E12" s="165"/>
      <c r="F12" s="50"/>
      <c r="G12" s="50"/>
      <c r="H12" s="50"/>
      <c r="I12" s="51"/>
    </row>
    <row r="13" spans="1:17" ht="44.25" x14ac:dyDescent="0.25">
      <c r="A13" s="59" t="s">
        <v>214</v>
      </c>
      <c r="B13" s="50">
        <v>8</v>
      </c>
      <c r="C13" s="50">
        <v>2</v>
      </c>
      <c r="D13" s="40">
        <f t="shared" ref="D13:D14" si="5">B13*C13</f>
        <v>16</v>
      </c>
      <c r="E13" s="50">
        <f>'Table 1'!E24</f>
        <v>5</v>
      </c>
      <c r="F13" s="40">
        <f>D13*E13</f>
        <v>80</v>
      </c>
      <c r="G13" s="40">
        <f>F13*0.05</f>
        <v>4</v>
      </c>
      <c r="H13" s="40">
        <f>F13*0.1</f>
        <v>8</v>
      </c>
      <c r="I13" s="41">
        <f>F13*$L$4+G13*$L$5+H13*$L$6</f>
        <v>4374.0800000000008</v>
      </c>
    </row>
    <row r="14" spans="1:17" ht="15.75" x14ac:dyDescent="0.25">
      <c r="A14" s="55" t="s">
        <v>215</v>
      </c>
      <c r="B14" s="50">
        <v>2</v>
      </c>
      <c r="C14" s="50">
        <v>2</v>
      </c>
      <c r="D14" s="40">
        <f t="shared" si="5"/>
        <v>4</v>
      </c>
      <c r="E14" s="50">
        <f>'Table 1'!E25</f>
        <v>102</v>
      </c>
      <c r="F14" s="40">
        <f>D14*E14</f>
        <v>408</v>
      </c>
      <c r="G14" s="40">
        <f>F14*0.05</f>
        <v>20.400000000000002</v>
      </c>
      <c r="H14" s="40">
        <f>F14*0.1</f>
        <v>40.800000000000004</v>
      </c>
      <c r="I14" s="41">
        <f>F14*$L$4+G14*$L$5+H14*$L$6</f>
        <v>22307.808000000001</v>
      </c>
    </row>
    <row r="15" spans="1:17" x14ac:dyDescent="0.25">
      <c r="A15" s="167" t="s">
        <v>138</v>
      </c>
      <c r="B15" s="168"/>
      <c r="C15" s="168"/>
      <c r="D15" s="168"/>
      <c r="E15" s="168"/>
      <c r="F15" s="186">
        <f>ROUND(SUM(F3:H14),0)</f>
        <v>893</v>
      </c>
      <c r="G15" s="186"/>
      <c r="H15" s="186"/>
      <c r="I15" s="89">
        <f>SUM(I3:I14)</f>
        <v>42457.736533333336</v>
      </c>
      <c r="J15" s="43"/>
    </row>
    <row r="16" spans="1:17" ht="15.75" x14ac:dyDescent="0.25">
      <c r="A16" s="49" t="s">
        <v>216</v>
      </c>
      <c r="B16" s="168"/>
      <c r="C16" s="168"/>
      <c r="D16" s="168"/>
      <c r="E16" s="168"/>
      <c r="F16" s="169"/>
      <c r="G16" s="169"/>
      <c r="H16" s="169"/>
      <c r="I16" s="89">
        <v>1935</v>
      </c>
      <c r="J16" s="108"/>
    </row>
    <row r="17" spans="1:14" ht="15.75" x14ac:dyDescent="0.25">
      <c r="A17" s="47" t="s">
        <v>139</v>
      </c>
      <c r="B17" s="168"/>
      <c r="C17" s="168"/>
      <c r="D17" s="168"/>
      <c r="E17" s="168"/>
      <c r="F17" s="169"/>
      <c r="G17" s="169"/>
      <c r="H17" s="169"/>
      <c r="I17" s="84">
        <f>ROUND(SUM(I15:I16), -2)</f>
        <v>44400</v>
      </c>
      <c r="J17" s="85" t="s">
        <v>123</v>
      </c>
      <c r="N17" s="17"/>
    </row>
    <row r="18" spans="1:14" x14ac:dyDescent="0.25">
      <c r="A18" s="3"/>
      <c r="B18" s="3"/>
      <c r="C18" s="3"/>
      <c r="D18" s="3"/>
      <c r="E18" s="3"/>
      <c r="F18" s="7"/>
      <c r="G18" s="7"/>
      <c r="H18" s="7"/>
      <c r="I18" s="6"/>
    </row>
    <row r="19" spans="1:14" ht="69" customHeight="1" x14ac:dyDescent="0.25">
      <c r="A19" s="172" t="s">
        <v>171</v>
      </c>
      <c r="B19" s="173"/>
      <c r="C19" s="173"/>
      <c r="D19" s="173"/>
      <c r="E19" s="173"/>
      <c r="F19" s="173"/>
      <c r="G19" s="173"/>
      <c r="H19" s="173"/>
      <c r="I19" s="173"/>
    </row>
    <row r="20" spans="1:14" ht="47.25" customHeight="1" x14ac:dyDescent="0.25">
      <c r="A20" s="183" t="s">
        <v>118</v>
      </c>
      <c r="B20" s="174"/>
      <c r="C20" s="174"/>
      <c r="D20" s="174"/>
      <c r="E20" s="174"/>
      <c r="F20" s="174"/>
      <c r="G20" s="174"/>
      <c r="H20" s="174"/>
      <c r="I20" s="174"/>
    </row>
    <row r="21" spans="1:14" ht="32.25" customHeight="1" x14ac:dyDescent="0.25">
      <c r="A21" s="183" t="s">
        <v>140</v>
      </c>
      <c r="B21" s="174"/>
      <c r="C21" s="174"/>
      <c r="D21" s="174"/>
      <c r="E21" s="174"/>
      <c r="F21" s="174"/>
      <c r="G21" s="174"/>
      <c r="H21" s="174"/>
      <c r="I21" s="174"/>
    </row>
    <row r="22" spans="1:14" ht="33.75" customHeight="1" x14ac:dyDescent="0.25">
      <c r="A22" s="183" t="s">
        <v>141</v>
      </c>
      <c r="B22" s="174"/>
      <c r="C22" s="174"/>
      <c r="D22" s="174"/>
      <c r="E22" s="174"/>
      <c r="F22" s="174"/>
      <c r="G22" s="174"/>
      <c r="H22" s="174"/>
      <c r="I22" s="174"/>
    </row>
    <row r="23" spans="1:14" ht="44.25" customHeight="1" x14ac:dyDescent="0.25">
      <c r="A23" s="183" t="s">
        <v>119</v>
      </c>
      <c r="B23" s="174"/>
      <c r="C23" s="174"/>
      <c r="D23" s="174"/>
      <c r="E23" s="174"/>
      <c r="F23" s="174"/>
      <c r="G23" s="174"/>
      <c r="H23" s="174"/>
      <c r="I23" s="174"/>
    </row>
    <row r="24" spans="1:14" ht="46.5" customHeight="1" x14ac:dyDescent="0.25">
      <c r="A24" s="183" t="s">
        <v>120</v>
      </c>
      <c r="B24" s="184"/>
      <c r="C24" s="184"/>
      <c r="D24" s="184"/>
      <c r="E24" s="184"/>
      <c r="F24" s="184"/>
      <c r="G24" s="184"/>
      <c r="H24" s="184"/>
      <c r="I24" s="184"/>
    </row>
    <row r="25" spans="1:14" ht="33" customHeight="1" x14ac:dyDescent="0.25">
      <c r="A25" s="183" t="s">
        <v>121</v>
      </c>
      <c r="B25" s="184"/>
      <c r="C25" s="184"/>
      <c r="D25" s="184"/>
      <c r="E25" s="184"/>
      <c r="F25" s="184"/>
      <c r="G25" s="184"/>
      <c r="H25" s="184"/>
      <c r="I25" s="184"/>
    </row>
    <row r="26" spans="1:14" ht="30.75" customHeight="1" x14ac:dyDescent="0.25">
      <c r="A26" s="183" t="s">
        <v>122</v>
      </c>
      <c r="B26" s="184"/>
      <c r="C26" s="184"/>
      <c r="D26" s="184"/>
      <c r="E26" s="184"/>
      <c r="F26" s="184"/>
      <c r="G26" s="184"/>
      <c r="H26" s="184"/>
      <c r="I26" s="184"/>
    </row>
    <row r="27" spans="1:14" ht="42.75" customHeight="1" x14ac:dyDescent="0.25">
      <c r="A27" s="183" t="s">
        <v>172</v>
      </c>
      <c r="B27" s="184"/>
      <c r="C27" s="184"/>
      <c r="D27" s="184"/>
      <c r="E27" s="184"/>
      <c r="F27" s="184"/>
      <c r="G27" s="184"/>
      <c r="H27" s="184"/>
      <c r="I27" s="184"/>
    </row>
    <row r="28" spans="1:14" x14ac:dyDescent="0.25">
      <c r="A28" s="175" t="s">
        <v>173</v>
      </c>
      <c r="B28" s="184"/>
      <c r="C28" s="184"/>
      <c r="D28" s="184"/>
      <c r="E28" s="184"/>
      <c r="F28" s="184"/>
      <c r="G28" s="184"/>
      <c r="H28" s="184"/>
      <c r="I28" s="184"/>
    </row>
    <row r="29" spans="1:14" x14ac:dyDescent="0.25">
      <c r="A29" s="46"/>
      <c r="B29" s="46"/>
      <c r="C29" s="46"/>
      <c r="D29" s="46"/>
      <c r="E29" s="46"/>
      <c r="F29" s="46"/>
      <c r="G29" s="46"/>
      <c r="H29" s="46"/>
      <c r="I29" s="46"/>
    </row>
  </sheetData>
  <mergeCells count="12">
    <mergeCell ref="K7:M7"/>
    <mergeCell ref="F15:H15"/>
    <mergeCell ref="A19:I19"/>
    <mergeCell ref="A20:I20"/>
    <mergeCell ref="A26:I26"/>
    <mergeCell ref="A27:I27"/>
    <mergeCell ref="A28:I28"/>
    <mergeCell ref="A21:I21"/>
    <mergeCell ref="A22:I22"/>
    <mergeCell ref="A23:I23"/>
    <mergeCell ref="A24:I24"/>
    <mergeCell ref="A25:I25"/>
  </mergeCells>
  <pageMargins left="0.7" right="0.7" top="0.75" bottom="0.75" header="0.3" footer="0.3"/>
  <pageSetup orientation="portrait" horizontalDpi="4294967293" r:id="rId1"/>
  <ignoredErrors>
    <ignoredError sqref="E6:E11 E13:E14"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0"/>
  <sheetViews>
    <sheetView workbookViewId="0">
      <selection activeCell="A12" sqref="A12:D12"/>
    </sheetView>
  </sheetViews>
  <sheetFormatPr defaultRowHeight="15" x14ac:dyDescent="0.25"/>
  <cols>
    <col min="1" max="1" width="46" customWidth="1"/>
    <col min="2" max="3" width="16" customWidth="1"/>
    <col min="4" max="4" width="19" customWidth="1"/>
    <col min="5" max="5" width="9.7109375" customWidth="1"/>
    <col min="6" max="6" width="24" customWidth="1"/>
    <col min="8" max="9" width="11.85546875" bestFit="1" customWidth="1"/>
  </cols>
  <sheetData>
    <row r="1" spans="1:14" x14ac:dyDescent="0.25">
      <c r="A1" s="187" t="s">
        <v>38</v>
      </c>
      <c r="B1" s="187"/>
      <c r="C1" s="187"/>
      <c r="D1" s="187"/>
    </row>
    <row r="2" spans="1:14" ht="28.5" x14ac:dyDescent="0.25">
      <c r="A2" s="18" t="s">
        <v>1</v>
      </c>
      <c r="B2" s="18" t="s">
        <v>2</v>
      </c>
      <c r="C2" s="18" t="s">
        <v>3</v>
      </c>
      <c r="D2" s="18" t="s">
        <v>4</v>
      </c>
      <c r="E2" s="44" t="s">
        <v>91</v>
      </c>
    </row>
    <row r="3" spans="1:14" ht="45" x14ac:dyDescent="0.25">
      <c r="A3" s="18" t="s">
        <v>39</v>
      </c>
      <c r="B3" s="18" t="s">
        <v>40</v>
      </c>
      <c r="C3" s="18" t="s">
        <v>41</v>
      </c>
      <c r="D3" s="18" t="s">
        <v>176</v>
      </c>
      <c r="F3" s="96" t="s">
        <v>127</v>
      </c>
      <c r="G3" s="97">
        <f>(0.07*(1+0.07)^5)/((1+0.07)^5-1)</f>
        <v>0.24389069444137401</v>
      </c>
      <c r="H3" s="94"/>
    </row>
    <row r="4" spans="1:14" x14ac:dyDescent="0.25">
      <c r="A4" s="19"/>
      <c r="B4" s="19"/>
      <c r="C4" s="19"/>
      <c r="D4" s="18" t="s">
        <v>42</v>
      </c>
      <c r="I4" s="94"/>
    </row>
    <row r="5" spans="1:14" x14ac:dyDescent="0.25">
      <c r="A5" s="20" t="s">
        <v>43</v>
      </c>
      <c r="B5" s="21"/>
      <c r="C5" s="21"/>
      <c r="D5" s="21"/>
    </row>
    <row r="6" spans="1:14" x14ac:dyDescent="0.25">
      <c r="A6" s="22" t="s">
        <v>44</v>
      </c>
      <c r="B6" s="23">
        <f>10000*G3</f>
        <v>2438.9069444137399</v>
      </c>
      <c r="C6" s="21">
        <f>261+2</f>
        <v>263</v>
      </c>
      <c r="D6" s="24">
        <f>B6*C6</f>
        <v>641432.52638081356</v>
      </c>
      <c r="E6" s="80" t="s">
        <v>125</v>
      </c>
    </row>
    <row r="7" spans="1:14" x14ac:dyDescent="0.25">
      <c r="A7" s="22" t="s">
        <v>45</v>
      </c>
      <c r="B7" s="23">
        <f>14000*G3</f>
        <v>3414.4697221792362</v>
      </c>
      <c r="C7" s="21">
        <f>5+2</f>
        <v>7</v>
      </c>
      <c r="D7" s="24">
        <f>B7*C7</f>
        <v>23901.288055254652</v>
      </c>
      <c r="E7" s="80" t="s">
        <v>125</v>
      </c>
    </row>
    <row r="8" spans="1:14" x14ac:dyDescent="0.25">
      <c r="A8" s="22" t="s">
        <v>46</v>
      </c>
      <c r="B8" s="23">
        <f>14000*G3</f>
        <v>3414.4697221792362</v>
      </c>
      <c r="C8" s="21">
        <f>6+2</f>
        <v>8</v>
      </c>
      <c r="D8" s="24">
        <f>B8*C8</f>
        <v>27315.75777743389</v>
      </c>
      <c r="E8" s="80" t="s">
        <v>125</v>
      </c>
    </row>
    <row r="9" spans="1:14" ht="14.25" customHeight="1" x14ac:dyDescent="0.25">
      <c r="A9" s="22" t="s">
        <v>47</v>
      </c>
      <c r="B9" s="21"/>
      <c r="C9" s="21"/>
      <c r="D9" s="24">
        <f>(SUM(D6,D7,D8)*0.2)</f>
        <v>138529.91444270042</v>
      </c>
    </row>
    <row r="10" spans="1:14" ht="16.5" x14ac:dyDescent="0.25">
      <c r="A10" s="171" t="s">
        <v>218</v>
      </c>
      <c r="B10" s="18"/>
      <c r="C10" s="18"/>
      <c r="D10" s="25">
        <f>ROUND(SUM(D6:D9),-3)</f>
        <v>831000</v>
      </c>
      <c r="E10" s="86" t="s">
        <v>128</v>
      </c>
      <c r="F10" s="8"/>
    </row>
    <row r="11" spans="1:14" ht="51" customHeight="1" x14ac:dyDescent="0.25">
      <c r="A11" s="188" t="s">
        <v>179</v>
      </c>
      <c r="B11" s="189"/>
      <c r="C11" s="189"/>
      <c r="D11" s="189"/>
      <c r="N11" s="17"/>
    </row>
    <row r="12" spans="1:14" ht="38.25" customHeight="1" x14ac:dyDescent="0.25">
      <c r="A12" s="190" t="s">
        <v>126</v>
      </c>
      <c r="B12" s="184"/>
      <c r="C12" s="184"/>
      <c r="D12" s="184"/>
      <c r="G12" s="95"/>
    </row>
    <row r="13" spans="1:14" x14ac:dyDescent="0.25">
      <c r="A13" s="1"/>
      <c r="N13" s="17"/>
    </row>
    <row r="20" spans="8:8" x14ac:dyDescent="0.25">
      <c r="H20" s="8"/>
    </row>
  </sheetData>
  <mergeCells count="3">
    <mergeCell ref="A1:D1"/>
    <mergeCell ref="A11:D11"/>
    <mergeCell ref="A12:D12"/>
  </mergeCells>
  <pageMargins left="0.7" right="0.7" top="0.75" bottom="0.75" header="0.3" footer="0.3"/>
  <pageSetup orientation="portrait" horizont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G7" sqref="G7"/>
    </sheetView>
  </sheetViews>
  <sheetFormatPr defaultRowHeight="15" x14ac:dyDescent="0.25"/>
  <cols>
    <col min="1" max="1" width="35.28515625" customWidth="1"/>
    <col min="2" max="2" width="13.42578125" customWidth="1"/>
    <col min="3" max="3" width="13.85546875" customWidth="1"/>
    <col min="4" max="4" width="19.140625" customWidth="1"/>
    <col min="5" max="5" width="17.28515625" customWidth="1"/>
  </cols>
  <sheetData>
    <row r="1" spans="1:6" x14ac:dyDescent="0.25">
      <c r="A1" s="187" t="s">
        <v>66</v>
      </c>
      <c r="B1" s="187"/>
      <c r="C1" s="187"/>
      <c r="D1" s="187"/>
      <c r="E1" s="187"/>
    </row>
    <row r="2" spans="1:6" x14ac:dyDescent="0.25">
      <c r="A2" s="18" t="s">
        <v>1</v>
      </c>
      <c r="B2" s="18" t="s">
        <v>2</v>
      </c>
      <c r="C2" s="18" t="s">
        <v>3</v>
      </c>
      <c r="D2" s="18" t="s">
        <v>4</v>
      </c>
      <c r="E2" s="18" t="s">
        <v>5</v>
      </c>
    </row>
    <row r="3" spans="1:6" ht="85.5" x14ac:dyDescent="0.25">
      <c r="A3" s="18" t="s">
        <v>67</v>
      </c>
      <c r="B3" s="18" t="s">
        <v>41</v>
      </c>
      <c r="C3" s="18" t="s">
        <v>68</v>
      </c>
      <c r="D3" s="18" t="s">
        <v>69</v>
      </c>
      <c r="E3" s="18" t="s">
        <v>66</v>
      </c>
      <c r="F3" s="92" t="s">
        <v>91</v>
      </c>
    </row>
    <row r="4" spans="1:6" x14ac:dyDescent="0.25">
      <c r="A4" s="19"/>
      <c r="B4" s="19"/>
      <c r="C4" s="19"/>
      <c r="D4" s="19"/>
      <c r="E4" s="18" t="s">
        <v>70</v>
      </c>
    </row>
    <row r="5" spans="1:6" ht="30" x14ac:dyDescent="0.25">
      <c r="A5" s="45" t="s">
        <v>71</v>
      </c>
      <c r="B5" s="170">
        <f>'Table 1'!E16</f>
        <v>1.3333333333333333</v>
      </c>
      <c r="C5" s="26">
        <f>'Table 1'!C16</f>
        <v>1</v>
      </c>
      <c r="D5" s="26">
        <v>0</v>
      </c>
      <c r="E5" s="170">
        <f>(B5*C5)+D5</f>
        <v>1.3333333333333333</v>
      </c>
    </row>
    <row r="6" spans="1:6" x14ac:dyDescent="0.25">
      <c r="A6" s="45" t="s">
        <v>18</v>
      </c>
      <c r="B6" s="170">
        <f>'Table 1'!E17</f>
        <v>1.3333333333333333</v>
      </c>
      <c r="C6" s="26">
        <f>'Table 1'!C17</f>
        <v>1</v>
      </c>
      <c r="D6" s="26">
        <v>0</v>
      </c>
      <c r="E6" s="170">
        <f t="shared" ref="E6:E13" si="0">(B6*C6)+D6</f>
        <v>1.3333333333333333</v>
      </c>
    </row>
    <row r="7" spans="1:6" x14ac:dyDescent="0.25">
      <c r="A7" s="45" t="s">
        <v>19</v>
      </c>
      <c r="B7" s="170">
        <f>'Table 1'!E18</f>
        <v>1.3333333333333333</v>
      </c>
      <c r="C7" s="26">
        <f>'Table 1'!C18</f>
        <v>1</v>
      </c>
      <c r="D7" s="26">
        <v>0</v>
      </c>
      <c r="E7" s="170">
        <f t="shared" si="0"/>
        <v>1.3333333333333333</v>
      </c>
    </row>
    <row r="8" spans="1:6" x14ac:dyDescent="0.25">
      <c r="A8" s="45" t="s">
        <v>72</v>
      </c>
      <c r="B8" s="26">
        <f>'Table 1'!E20</f>
        <v>43</v>
      </c>
      <c r="C8" s="26">
        <f>'Table 1'!C20</f>
        <v>1</v>
      </c>
      <c r="D8" s="26">
        <v>0</v>
      </c>
      <c r="E8" s="26">
        <f t="shared" si="0"/>
        <v>43</v>
      </c>
    </row>
    <row r="9" spans="1:6" x14ac:dyDescent="0.25">
      <c r="A9" s="45" t="s">
        <v>22</v>
      </c>
      <c r="B9" s="26">
        <f>'Table 1'!E21</f>
        <v>43</v>
      </c>
      <c r="C9" s="26">
        <f>'Table 1'!C21</f>
        <v>1</v>
      </c>
      <c r="D9" s="26">
        <v>0</v>
      </c>
      <c r="E9" s="26">
        <f t="shared" si="0"/>
        <v>43</v>
      </c>
    </row>
    <row r="10" spans="1:6" x14ac:dyDescent="0.25">
      <c r="A10" s="45" t="s">
        <v>20</v>
      </c>
      <c r="B10" s="170">
        <f>'Table 1'!E19</f>
        <v>1.3333333333333333</v>
      </c>
      <c r="C10" s="26">
        <f>'Table 1'!C19</f>
        <v>1</v>
      </c>
      <c r="D10" s="26">
        <v>0</v>
      </c>
      <c r="E10" s="170">
        <f t="shared" si="0"/>
        <v>1.3333333333333333</v>
      </c>
    </row>
    <row r="11" spans="1:6" x14ac:dyDescent="0.25">
      <c r="A11" s="45" t="s">
        <v>73</v>
      </c>
      <c r="B11" s="26">
        <f>'Table 1'!E22</f>
        <v>43</v>
      </c>
      <c r="C11" s="26">
        <f>'Table 1'!C22</f>
        <v>1</v>
      </c>
      <c r="D11" s="26">
        <v>0</v>
      </c>
      <c r="E11" s="26">
        <f t="shared" si="0"/>
        <v>43</v>
      </c>
    </row>
    <row r="12" spans="1:6" ht="45" x14ac:dyDescent="0.25">
      <c r="A12" s="45" t="s">
        <v>74</v>
      </c>
      <c r="B12" s="26">
        <f>'Table 1'!E24</f>
        <v>5</v>
      </c>
      <c r="C12" s="26">
        <f>'Table 1'!C24</f>
        <v>2</v>
      </c>
      <c r="D12" s="26">
        <v>0</v>
      </c>
      <c r="E12" s="26">
        <f t="shared" si="0"/>
        <v>10</v>
      </c>
    </row>
    <row r="13" spans="1:6" x14ac:dyDescent="0.25">
      <c r="A13" s="45" t="s">
        <v>75</v>
      </c>
      <c r="B13" s="26">
        <f>'Table 1'!E25</f>
        <v>102</v>
      </c>
      <c r="C13" s="26">
        <f>'Table 1'!C25</f>
        <v>2</v>
      </c>
      <c r="D13" s="26">
        <v>0</v>
      </c>
      <c r="E13" s="26">
        <f t="shared" si="0"/>
        <v>204</v>
      </c>
    </row>
    <row r="14" spans="1:6" x14ac:dyDescent="0.25">
      <c r="A14" s="27"/>
      <c r="B14" s="18"/>
      <c r="C14" s="18"/>
      <c r="D14" s="18" t="s">
        <v>76</v>
      </c>
      <c r="E14" s="93">
        <f>SUM(E5:E13)</f>
        <v>348.33333333333331</v>
      </c>
      <c r="F14" s="77" t="s">
        <v>124</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E13" sqref="E13"/>
    </sheetView>
  </sheetViews>
  <sheetFormatPr defaultRowHeight="15" x14ac:dyDescent="0.25"/>
  <cols>
    <col min="1" max="1" width="28.28515625" customWidth="1"/>
    <col min="2" max="2" width="18.28515625" customWidth="1"/>
    <col min="3" max="3" width="18.5703125" customWidth="1"/>
    <col min="4" max="4" width="24.85546875" customWidth="1"/>
    <col min="5" max="5" width="18.140625" customWidth="1"/>
    <col min="6" max="6" width="16.140625" customWidth="1"/>
  </cols>
  <sheetData>
    <row r="1" spans="1:7" ht="16.5" customHeight="1" thickBot="1" x14ac:dyDescent="0.3">
      <c r="A1" s="135" t="s">
        <v>168</v>
      </c>
      <c r="B1" s="135"/>
      <c r="C1" s="135"/>
      <c r="D1" s="135"/>
      <c r="E1" s="135"/>
      <c r="F1" s="135"/>
      <c r="G1" s="126"/>
    </row>
    <row r="2" spans="1:7" ht="30" x14ac:dyDescent="0.25">
      <c r="A2" s="136"/>
      <c r="B2" s="191" t="s">
        <v>160</v>
      </c>
      <c r="C2" s="192"/>
      <c r="D2" s="137" t="s">
        <v>161</v>
      </c>
      <c r="E2" s="193"/>
      <c r="F2" s="194"/>
      <c r="G2" s="126"/>
    </row>
    <row r="3" spans="1:7" ht="82.5" customHeight="1" x14ac:dyDescent="0.25">
      <c r="A3" s="138" t="s">
        <v>162</v>
      </c>
      <c r="B3" s="139" t="s">
        <v>169</v>
      </c>
      <c r="C3" s="139" t="s">
        <v>164</v>
      </c>
      <c r="D3" s="139" t="s">
        <v>165</v>
      </c>
      <c r="E3" s="139" t="s">
        <v>166</v>
      </c>
      <c r="F3" s="140" t="s">
        <v>167</v>
      </c>
      <c r="G3" s="126"/>
    </row>
    <row r="4" spans="1:7" x14ac:dyDescent="0.25">
      <c r="A4" s="155">
        <v>1</v>
      </c>
      <c r="B4" s="156">
        <v>1</v>
      </c>
      <c r="C4" s="156">
        <f>B24</f>
        <v>107</v>
      </c>
      <c r="D4" s="156">
        <v>0</v>
      </c>
      <c r="E4" s="156">
        <v>1</v>
      </c>
      <c r="F4" s="157">
        <v>107</v>
      </c>
      <c r="G4" s="126"/>
    </row>
    <row r="5" spans="1:7" x14ac:dyDescent="0.25">
      <c r="A5" s="155">
        <v>2</v>
      </c>
      <c r="B5" s="156">
        <v>1</v>
      </c>
      <c r="C5" s="156">
        <v>107</v>
      </c>
      <c r="D5" s="156">
        <v>0</v>
      </c>
      <c r="E5" s="156">
        <v>1</v>
      </c>
      <c r="F5" s="157">
        <v>107</v>
      </c>
      <c r="G5" s="126"/>
    </row>
    <row r="6" spans="1:7" x14ac:dyDescent="0.25">
      <c r="A6" s="155">
        <v>3</v>
      </c>
      <c r="B6" s="156">
        <v>2</v>
      </c>
      <c r="C6" s="156">
        <v>107</v>
      </c>
      <c r="D6" s="156">
        <v>0</v>
      </c>
      <c r="E6" s="156">
        <v>1</v>
      </c>
      <c r="F6" s="157">
        <v>108</v>
      </c>
      <c r="G6" s="126"/>
    </row>
    <row r="7" spans="1:7" ht="15.75" thickBot="1" x14ac:dyDescent="0.3">
      <c r="A7" s="158" t="s">
        <v>163</v>
      </c>
      <c r="B7" s="160">
        <f>AVERAGE(B4:B6)</f>
        <v>1.3333333333333333</v>
      </c>
      <c r="C7" s="159">
        <f>AVERAGE(C4:C6)</f>
        <v>107</v>
      </c>
      <c r="D7" s="159">
        <f>AVERAGE(D4:D6)</f>
        <v>0</v>
      </c>
      <c r="E7" s="159">
        <f>AVERAGE(E4:E6)</f>
        <v>1</v>
      </c>
      <c r="F7" s="161">
        <f>AVERAGE(F4:F6)</f>
        <v>107.33333333333333</v>
      </c>
      <c r="G7" s="126"/>
    </row>
    <row r="8" spans="1:7" x14ac:dyDescent="0.25">
      <c r="A8" s="126"/>
      <c r="B8" s="126"/>
      <c r="C8" s="126"/>
      <c r="D8" s="126"/>
      <c r="E8" s="126"/>
      <c r="F8" s="126"/>
      <c r="G8" s="126"/>
    </row>
    <row r="9" spans="1:7" x14ac:dyDescent="0.25">
      <c r="A9" s="126"/>
      <c r="B9" s="126"/>
      <c r="C9" s="126"/>
      <c r="D9" s="126"/>
      <c r="E9" s="126"/>
      <c r="F9" s="126"/>
      <c r="G9" s="126"/>
    </row>
    <row r="10" spans="1:7" ht="15.75" thickBot="1" x14ac:dyDescent="0.3">
      <c r="A10" s="125" t="s">
        <v>159</v>
      </c>
      <c r="B10" s="126"/>
      <c r="C10" s="126"/>
      <c r="D10" s="126"/>
      <c r="E10" s="126"/>
      <c r="F10" s="126"/>
      <c r="G10" s="126"/>
    </row>
    <row r="11" spans="1:7" ht="30" x14ac:dyDescent="0.25">
      <c r="A11" s="141" t="s">
        <v>142</v>
      </c>
      <c r="B11" s="142" t="s">
        <v>159</v>
      </c>
      <c r="C11" s="123"/>
      <c r="D11" s="124"/>
      <c r="E11" s="126"/>
      <c r="F11" s="126"/>
      <c r="G11" s="126"/>
    </row>
    <row r="12" spans="1:7" x14ac:dyDescent="0.25">
      <c r="A12" s="143" t="s">
        <v>143</v>
      </c>
      <c r="B12" s="144">
        <v>65</v>
      </c>
      <c r="C12" s="127"/>
      <c r="D12" s="128"/>
      <c r="E12" s="126"/>
      <c r="F12" s="126"/>
      <c r="G12" s="126"/>
    </row>
    <row r="13" spans="1:7" x14ac:dyDescent="0.25">
      <c r="A13" s="143" t="s">
        <v>144</v>
      </c>
      <c r="B13" s="144">
        <v>4</v>
      </c>
      <c r="C13" s="127"/>
      <c r="D13" s="128"/>
      <c r="E13" s="126"/>
      <c r="F13" s="126"/>
      <c r="G13" s="126"/>
    </row>
    <row r="14" spans="1:7" x14ac:dyDescent="0.25">
      <c r="A14" s="143" t="s">
        <v>145</v>
      </c>
      <c r="B14" s="144">
        <v>2</v>
      </c>
      <c r="C14" s="127"/>
      <c r="D14" s="128"/>
      <c r="E14" s="126"/>
      <c r="F14" s="126"/>
      <c r="G14" s="126"/>
    </row>
    <row r="15" spans="1:7" x14ac:dyDescent="0.25">
      <c r="A15" s="143" t="s">
        <v>146</v>
      </c>
      <c r="B15" s="144">
        <v>17</v>
      </c>
      <c r="C15" s="127"/>
      <c r="D15" s="128"/>
      <c r="E15" s="126"/>
      <c r="F15" s="126"/>
      <c r="G15" s="126"/>
    </row>
    <row r="16" spans="1:7" x14ac:dyDescent="0.25">
      <c r="A16" s="143" t="s">
        <v>147</v>
      </c>
      <c r="B16" s="144">
        <v>5</v>
      </c>
      <c r="C16" s="127"/>
      <c r="D16" s="128"/>
      <c r="E16" s="126"/>
      <c r="F16" s="126"/>
      <c r="G16" s="126"/>
    </row>
    <row r="17" spans="1:7" x14ac:dyDescent="0.25">
      <c r="A17" s="143" t="s">
        <v>148</v>
      </c>
      <c r="B17" s="144">
        <v>3</v>
      </c>
      <c r="C17" s="127"/>
      <c r="D17" s="128"/>
      <c r="E17" s="126"/>
      <c r="F17" s="126"/>
      <c r="G17" s="126"/>
    </row>
    <row r="18" spans="1:7" x14ac:dyDescent="0.25">
      <c r="A18" s="143" t="s">
        <v>149</v>
      </c>
      <c r="B18" s="144">
        <v>1</v>
      </c>
      <c r="C18" s="127"/>
      <c r="D18" s="128"/>
      <c r="E18" s="126"/>
      <c r="F18" s="126"/>
      <c r="G18" s="126"/>
    </row>
    <row r="19" spans="1:7" ht="15.75" thickBot="1" x14ac:dyDescent="0.3">
      <c r="A19" s="145" t="s">
        <v>150</v>
      </c>
      <c r="B19" s="146">
        <v>1</v>
      </c>
      <c r="C19" s="129">
        <f>SUM(B12:B19)</f>
        <v>98</v>
      </c>
      <c r="D19" s="130" t="s">
        <v>151</v>
      </c>
      <c r="E19" s="126"/>
      <c r="F19" s="126"/>
      <c r="G19" s="126"/>
    </row>
    <row r="20" spans="1:7" x14ac:dyDescent="0.25">
      <c r="A20" s="147" t="s">
        <v>152</v>
      </c>
      <c r="B20" s="148">
        <v>4</v>
      </c>
      <c r="C20" s="131"/>
      <c r="D20" s="132"/>
      <c r="E20" s="126"/>
      <c r="F20" s="126"/>
      <c r="G20" s="126"/>
    </row>
    <row r="21" spans="1:7" ht="15.75" thickBot="1" x14ac:dyDescent="0.3">
      <c r="A21" s="145" t="s">
        <v>153</v>
      </c>
      <c r="B21" s="146">
        <v>2</v>
      </c>
      <c r="C21" s="129">
        <f>SUM(B20:B21)</f>
        <v>6</v>
      </c>
      <c r="D21" s="130" t="s">
        <v>154</v>
      </c>
      <c r="E21" s="126"/>
      <c r="F21" s="126"/>
      <c r="G21" s="126"/>
    </row>
    <row r="22" spans="1:7" x14ac:dyDescent="0.25">
      <c r="A22" s="147" t="s">
        <v>155</v>
      </c>
      <c r="B22" s="148">
        <v>1</v>
      </c>
      <c r="C22" s="131"/>
      <c r="D22" s="132"/>
      <c r="E22" s="126"/>
      <c r="F22" s="126"/>
      <c r="G22" s="126"/>
    </row>
    <row r="23" spans="1:7" ht="15.75" thickBot="1" x14ac:dyDescent="0.3">
      <c r="A23" s="145" t="s">
        <v>156</v>
      </c>
      <c r="B23" s="146">
        <v>2</v>
      </c>
      <c r="C23" s="129">
        <f>SUM(B22:B23)</f>
        <v>3</v>
      </c>
      <c r="D23" s="130" t="s">
        <v>157</v>
      </c>
      <c r="E23" s="126"/>
      <c r="F23" s="126"/>
      <c r="G23" s="126"/>
    </row>
    <row r="24" spans="1:7" ht="15.75" thickBot="1" x14ac:dyDescent="0.3">
      <c r="A24" s="149" t="s">
        <v>158</v>
      </c>
      <c r="B24" s="150">
        <f>SUM(B12:B23)</f>
        <v>107</v>
      </c>
      <c r="C24" s="133">
        <f>SUM(C12:C23)</f>
        <v>107</v>
      </c>
      <c r="D24" s="134"/>
      <c r="E24" s="126"/>
      <c r="F24" s="126"/>
      <c r="G24" s="126"/>
    </row>
    <row r="25" spans="1:7" x14ac:dyDescent="0.25">
      <c r="A25" s="126"/>
      <c r="B25" s="126"/>
      <c r="C25" s="126"/>
      <c r="D25" s="126"/>
      <c r="E25" s="126"/>
      <c r="F25" s="126"/>
      <c r="G25" s="126"/>
    </row>
  </sheetData>
  <mergeCells count="2">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vt:lpstr>
      <vt:lpstr>Table 2</vt:lpstr>
      <vt:lpstr>CapitalStartup Costs</vt:lpstr>
      <vt:lpstr># Responses</vt:lpstr>
      <vt:lpstr>Count of 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wwrigley</cp:lastModifiedBy>
  <dcterms:created xsi:type="dcterms:W3CDTF">2018-09-13T23:15:00Z</dcterms:created>
  <dcterms:modified xsi:type="dcterms:W3CDTF">2018-10-12T17:44:20Z</dcterms:modified>
</cp:coreProperties>
</file>