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F:\New ICRs\"/>
    </mc:Choice>
  </mc:AlternateContent>
  <bookViews>
    <workbookView xWindow="120" yWindow="45" windowWidth="12270" windowHeight="4980" tabRatio="714"/>
  </bookViews>
  <sheets>
    <sheet name="# Respondents" sheetId="9" r:id="rId1"/>
    <sheet name="# Responses" sheetId="8" r:id="rId2"/>
    <sheet name="Respondent Burden" sheetId="1" r:id="rId3"/>
    <sheet name="Agency Burden" sheetId="2" r:id="rId4"/>
  </sheets>
  <definedNames>
    <definedName name="_xlnm.Print_Area" localSheetId="3">'Agency Burden'!$A$1:$J$4</definedName>
    <definedName name="_xlnm.Print_Area" localSheetId="2">'Respondent Burden'!$A$1:$J$52</definedName>
  </definedNames>
  <calcPr calcId="171027"/>
</workbook>
</file>

<file path=xl/calcChain.xml><?xml version="1.0" encoding="utf-8"?>
<calcChain xmlns="http://schemas.openxmlformats.org/spreadsheetml/2006/main">
  <c r="J15" i="2" l="1"/>
  <c r="J13" i="1" l="1"/>
  <c r="F5" i="8" l="1"/>
  <c r="J14" i="2"/>
  <c r="G10" i="2"/>
  <c r="E10" i="2"/>
  <c r="J9" i="2"/>
  <c r="G9" i="2"/>
  <c r="I9" i="2" s="1"/>
  <c r="E9" i="2"/>
  <c r="B21" i="2"/>
  <c r="H10" i="2" l="1"/>
  <c r="J10" i="2" s="1"/>
  <c r="I10" i="2"/>
  <c r="H9" i="2"/>
  <c r="G15" i="2" l="1"/>
  <c r="F10" i="2" l="1"/>
  <c r="F9" i="2"/>
  <c r="F16" i="8"/>
  <c r="F10" i="8"/>
  <c r="F11" i="8"/>
  <c r="F12" i="8"/>
  <c r="F42" i="1"/>
  <c r="E41" i="1" l="1"/>
  <c r="E40" i="1"/>
  <c r="F8" i="1"/>
  <c r="F39" i="1" s="1"/>
  <c r="E39" i="1"/>
  <c r="E37" i="1"/>
  <c r="G37" i="1" s="1"/>
  <c r="F36" i="1"/>
  <c r="E33" i="1"/>
  <c r="E32" i="1"/>
  <c r="G32" i="1" s="1"/>
  <c r="E30" i="1"/>
  <c r="G30" i="1" s="1"/>
  <c r="E29" i="1"/>
  <c r="G29" i="1" s="1"/>
  <c r="E28" i="1"/>
  <c r="G28" i="1" s="1"/>
  <c r="F44" i="1"/>
  <c r="G39" i="1" l="1"/>
  <c r="I39" i="1" s="1"/>
  <c r="H37" i="1"/>
  <c r="I37" i="1"/>
  <c r="H32" i="1"/>
  <c r="I32" i="1"/>
  <c r="H30" i="1"/>
  <c r="I30" i="1"/>
  <c r="H29" i="1"/>
  <c r="I29" i="1"/>
  <c r="H28" i="1"/>
  <c r="I28" i="1"/>
  <c r="E19" i="1"/>
  <c r="G19" i="1" s="1"/>
  <c r="E12" i="1"/>
  <c r="G12" i="1" s="1"/>
  <c r="H39" i="1" l="1"/>
  <c r="J37" i="1"/>
  <c r="J39" i="1"/>
  <c r="J32" i="1"/>
  <c r="J29" i="1"/>
  <c r="J28" i="1"/>
  <c r="J30" i="1"/>
  <c r="H19" i="1"/>
  <c r="I19" i="1"/>
  <c r="H12" i="1"/>
  <c r="I12" i="1"/>
  <c r="J19" i="1" l="1"/>
  <c r="J12" i="1"/>
  <c r="E17" i="1" l="1"/>
  <c r="E42" i="1"/>
  <c r="G42" i="1" s="1"/>
  <c r="H42" i="1" l="1"/>
  <c r="I42" i="1"/>
  <c r="F43" i="1"/>
  <c r="F22" i="1"/>
  <c r="F41" i="1" s="1"/>
  <c r="G41" i="1" s="1"/>
  <c r="I41" i="1" l="1"/>
  <c r="H41" i="1"/>
  <c r="J41" i="1" s="1"/>
  <c r="J42" i="1"/>
  <c r="F21" i="1"/>
  <c r="F20" i="1"/>
  <c r="F14" i="1"/>
  <c r="F13" i="1"/>
  <c r="F40" i="1" l="1"/>
  <c r="G40" i="1" s="1"/>
  <c r="F35" i="1"/>
  <c r="F5" i="1"/>
  <c r="F17" i="1" s="1"/>
  <c r="H40" i="1" l="1"/>
  <c r="I40" i="1"/>
  <c r="G17" i="1"/>
  <c r="H17" i="1" s="1"/>
  <c r="F33" i="1"/>
  <c r="G33" i="1" s="1"/>
  <c r="F16" i="1"/>
  <c r="F15" i="1"/>
  <c r="F38" i="1"/>
  <c r="F34" i="1"/>
  <c r="I30" i="2"/>
  <c r="F9" i="9"/>
  <c r="F8" i="9"/>
  <c r="C8" i="9"/>
  <c r="B20" i="2"/>
  <c r="F14" i="2"/>
  <c r="I17" i="1" l="1"/>
  <c r="J40" i="1"/>
  <c r="J17" i="1"/>
  <c r="H33" i="1"/>
  <c r="I33" i="1"/>
  <c r="E22" i="1"/>
  <c r="G22" i="1" s="1"/>
  <c r="E35" i="1"/>
  <c r="G35" i="1" s="1"/>
  <c r="E14" i="2"/>
  <c r="G14" i="2" s="1"/>
  <c r="I14" i="2" s="1"/>
  <c r="E15" i="1"/>
  <c r="G15" i="1" s="1"/>
  <c r="E14" i="1"/>
  <c r="G14" i="1" s="1"/>
  <c r="E5" i="1"/>
  <c r="G5" i="1" s="1"/>
  <c r="E44" i="1"/>
  <c r="G44" i="1" s="1"/>
  <c r="E43" i="1"/>
  <c r="G43" i="1" s="1"/>
  <c r="J33" i="1" l="1"/>
  <c r="I15" i="1"/>
  <c r="H15" i="1"/>
  <c r="I43" i="1"/>
  <c r="H43" i="1"/>
  <c r="H44" i="1"/>
  <c r="I44" i="1"/>
  <c r="H5" i="1"/>
  <c r="I5" i="1"/>
  <c r="H35" i="1"/>
  <c r="I35" i="1"/>
  <c r="H14" i="1"/>
  <c r="I14" i="1"/>
  <c r="I22" i="1"/>
  <c r="H22" i="1"/>
  <c r="H14" i="2"/>
  <c r="F7" i="2"/>
  <c r="C6" i="8"/>
  <c r="F6" i="8" s="1"/>
  <c r="C15" i="8"/>
  <c r="F15" i="8" s="1"/>
  <c r="C7" i="8"/>
  <c r="F7" i="8" s="1"/>
  <c r="E13" i="2"/>
  <c r="E12" i="2"/>
  <c r="E11" i="2"/>
  <c r="E8" i="2"/>
  <c r="E7" i="2"/>
  <c r="E36" i="1"/>
  <c r="G36" i="1" s="1"/>
  <c r="E10" i="9"/>
  <c r="C9" i="9"/>
  <c r="G7" i="9"/>
  <c r="J44" i="1" l="1"/>
  <c r="J15" i="1"/>
  <c r="J5" i="1"/>
  <c r="J43" i="1"/>
  <c r="J14" i="1"/>
  <c r="J22" i="1"/>
  <c r="J35" i="1"/>
  <c r="I36" i="1"/>
  <c r="H36" i="1"/>
  <c r="G7" i="2"/>
  <c r="I7" i="2" s="1"/>
  <c r="F12" i="2"/>
  <c r="G12" i="2" s="1"/>
  <c r="I12" i="2" s="1"/>
  <c r="C14" i="8"/>
  <c r="F14" i="8" s="1"/>
  <c r="F11" i="2"/>
  <c r="G11" i="2" s="1"/>
  <c r="H11" i="2" s="1"/>
  <c r="C13" i="8"/>
  <c r="F13" i="8" s="1"/>
  <c r="C4" i="8"/>
  <c r="F4" i="8" s="1"/>
  <c r="F8" i="2"/>
  <c r="G8" i="2" s="1"/>
  <c r="F13" i="2"/>
  <c r="G13" i="2" s="1"/>
  <c r="C9" i="8"/>
  <c r="F9" i="8" s="1"/>
  <c r="C10" i="9"/>
  <c r="G8" i="9"/>
  <c r="G9" i="9" s="1"/>
  <c r="G10" i="9" s="1"/>
  <c r="F10" i="9"/>
  <c r="J36" i="1" l="1"/>
  <c r="H7" i="2"/>
  <c r="I11" i="2"/>
  <c r="J11" i="2" s="1"/>
  <c r="H12" i="2"/>
  <c r="J12" i="2" s="1"/>
  <c r="C8" i="8"/>
  <c r="F8" i="8" s="1"/>
  <c r="F17" i="8" s="1"/>
  <c r="I8" i="2"/>
  <c r="H8" i="2"/>
  <c r="I13" i="2"/>
  <c r="H13" i="2"/>
  <c r="J7" i="2"/>
  <c r="D10" i="9"/>
  <c r="E38" i="1"/>
  <c r="G38" i="1" s="1"/>
  <c r="E34" i="1"/>
  <c r="G34" i="1" s="1"/>
  <c r="E21" i="1"/>
  <c r="G21" i="1" s="1"/>
  <c r="E20" i="1"/>
  <c r="G20" i="1" s="1"/>
  <c r="E16" i="1"/>
  <c r="G16" i="1" s="1"/>
  <c r="E13" i="1"/>
  <c r="G13" i="1" s="1"/>
  <c r="E8" i="1"/>
  <c r="G8" i="1" s="1"/>
  <c r="I34" i="1" l="1"/>
  <c r="H34" i="1"/>
  <c r="I38" i="1"/>
  <c r="H38" i="1"/>
  <c r="H20" i="1"/>
  <c r="I20" i="1"/>
  <c r="H13" i="1"/>
  <c r="I13" i="1"/>
  <c r="I16" i="1"/>
  <c r="H16" i="1"/>
  <c r="H8" i="1"/>
  <c r="I8" i="1"/>
  <c r="I21" i="1"/>
  <c r="H21" i="1"/>
  <c r="J13" i="2"/>
  <c r="J8" i="2"/>
  <c r="G46" i="1" l="1"/>
  <c r="G23" i="1"/>
  <c r="J16" i="1"/>
  <c r="J8" i="1"/>
  <c r="J34" i="1"/>
  <c r="J20" i="1"/>
  <c r="J38" i="1"/>
  <c r="J21" i="1"/>
  <c r="J46" i="1" l="1"/>
  <c r="J23" i="1"/>
  <c r="G47" i="1"/>
  <c r="J50" i="1" s="1"/>
  <c r="J47" i="1"/>
  <c r="J49" i="1" s="1"/>
</calcChain>
</file>

<file path=xl/sharedStrings.xml><?xml version="1.0" encoding="utf-8"?>
<sst xmlns="http://schemas.openxmlformats.org/spreadsheetml/2006/main" count="191" uniqueCount="156">
  <si>
    <t>Burden Item</t>
  </si>
  <si>
    <t>A</t>
  </si>
  <si>
    <t>B</t>
  </si>
  <si>
    <t>C</t>
  </si>
  <si>
    <t>D</t>
  </si>
  <si>
    <t>E</t>
  </si>
  <si>
    <t>F</t>
  </si>
  <si>
    <t>G</t>
  </si>
  <si>
    <t>H</t>
  </si>
  <si>
    <t>TECH</t>
  </si>
  <si>
    <t>Technical person-hours per occurrence</t>
  </si>
  <si>
    <t>No. of occurrences per respondent per year</t>
  </si>
  <si>
    <t>Technical person-hours per respondent per year (AxB)</t>
  </si>
  <si>
    <t>Technical hours per year (CxD)</t>
  </si>
  <si>
    <t>MGMT</t>
  </si>
  <si>
    <t>CLER</t>
  </si>
  <si>
    <t>Total Annual Responses</t>
  </si>
  <si>
    <t>(A)
Information Collection Activity</t>
  </si>
  <si>
    <t>(C)
Number of Responses</t>
  </si>
  <si>
    <t>(D)
Number of Existing Respondents That Keep Records But Do Not Submit Reports</t>
  </si>
  <si>
    <t>(E)
Total Annual Responses
E=(BxC)+D</t>
  </si>
  <si>
    <r>
      <t xml:space="preserve">Total cost per year ($) </t>
    </r>
    <r>
      <rPr>
        <b/>
        <vertAlign val="superscript"/>
        <sz val="10"/>
        <rFont val="Times New Roman"/>
        <family val="1"/>
      </rPr>
      <t>b</t>
    </r>
  </si>
  <si>
    <t>(A)</t>
  </si>
  <si>
    <t>(B)</t>
  </si>
  <si>
    <t>(C)</t>
  </si>
  <si>
    <t>(D)</t>
  </si>
  <si>
    <t>(E)</t>
  </si>
  <si>
    <r>
      <t xml:space="preserve">Respondents per year </t>
    </r>
    <r>
      <rPr>
        <b/>
        <vertAlign val="superscript"/>
        <sz val="10"/>
        <rFont val="Times New Roman"/>
        <family val="1"/>
      </rPr>
      <t>a</t>
    </r>
  </si>
  <si>
    <t>Management hours per year  (Ex0.05)</t>
  </si>
  <si>
    <t>Clerical hours per year (Ex0.10)</t>
  </si>
  <si>
    <t xml:space="preserve">(B)
Number of Respondents  </t>
  </si>
  <si>
    <t>Total</t>
  </si>
  <si>
    <t>3.  Reporting requirements</t>
  </si>
  <si>
    <t>4.  Recordkeeping requirements</t>
  </si>
  <si>
    <t>B.  Plan activities</t>
  </si>
  <si>
    <t>C.  Implement activities</t>
  </si>
  <si>
    <t>Number of Respondents</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</si>
  <si>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</si>
  <si>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</si>
  <si>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</si>
  <si>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</si>
  <si>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</si>
  <si>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</si>
  <si>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(E=A+B+C-D)</t>
  </si>
  <si>
    <t>Average</t>
  </si>
  <si>
    <t>Number of New Respondents</t>
  </si>
  <si>
    <t>2.  Surveys and studies</t>
  </si>
  <si>
    <t>N/A</t>
  </si>
  <si>
    <t>Notification of actual startup</t>
  </si>
  <si>
    <t>See 3A</t>
  </si>
  <si>
    <t>New</t>
  </si>
  <si>
    <t>Notification of construction/reconstruction</t>
  </si>
  <si>
    <t>Subtotal for Reporting Requirements</t>
  </si>
  <si>
    <t>Subtotal for Recordkeeping Requirements</t>
  </si>
  <si>
    <t>No.</t>
  </si>
  <si>
    <t>Source Type</t>
  </si>
  <si>
    <t>G.  Audits</t>
  </si>
  <si>
    <t>See 3D</t>
  </si>
  <si>
    <t>1.  Excess emissions enforcement activities</t>
  </si>
  <si>
    <t>Table 1: Annual Respondent Burden and Cost – NESHAP for Wood Furniture Manufacturing Operations (40 CFR Part 63, Subpart JJ) (Renewal)</t>
  </si>
  <si>
    <t>D.  Time to enter information</t>
  </si>
  <si>
    <t>C.  Gather existing information</t>
  </si>
  <si>
    <t>D.  Write reports</t>
  </si>
  <si>
    <t>2.  Report review</t>
  </si>
  <si>
    <r>
      <t xml:space="preserve">1.  Applications for construction, reconstruction, and modification </t>
    </r>
    <r>
      <rPr>
        <vertAlign val="superscript"/>
        <sz val="10"/>
        <rFont val="Times New Roman"/>
        <family val="1"/>
      </rPr>
      <t>c</t>
    </r>
  </si>
  <si>
    <r>
      <t xml:space="preserve">Notification of construction/reconstruction </t>
    </r>
    <r>
      <rPr>
        <vertAlign val="superscript"/>
        <sz val="10"/>
        <rFont val="Times New Roman"/>
        <family val="1"/>
      </rPr>
      <t>c</t>
    </r>
  </si>
  <si>
    <r>
      <t xml:space="preserve">Notification of modification (physical/operational changes) </t>
    </r>
    <r>
      <rPr>
        <vertAlign val="superscript"/>
        <sz val="10"/>
        <rFont val="Times New Roman"/>
        <family val="1"/>
      </rPr>
      <t>c</t>
    </r>
  </si>
  <si>
    <r>
      <t xml:space="preserve">Notification of anticipated startup (including reconstruction and modification) </t>
    </r>
    <r>
      <rPr>
        <vertAlign val="superscript"/>
        <sz val="10"/>
        <rFont val="Times New Roman"/>
        <family val="1"/>
      </rPr>
      <t>c</t>
    </r>
  </si>
  <si>
    <r>
      <t xml:space="preserve">Notification of actual startup </t>
    </r>
    <r>
      <rPr>
        <vertAlign val="superscript"/>
        <sz val="10"/>
        <rFont val="Times New Roman"/>
        <family val="1"/>
      </rPr>
      <t>c</t>
    </r>
  </si>
  <si>
    <r>
      <t xml:space="preserve">A.  Review notification of construction/reconstruction </t>
    </r>
    <r>
      <rPr>
        <vertAlign val="superscript"/>
        <sz val="10"/>
        <rFont val="Times New Roman"/>
        <family val="1"/>
      </rPr>
      <t>c</t>
    </r>
  </si>
  <si>
    <r>
      <t xml:space="preserve">B.  Review notification of modification (physical/operational changes) </t>
    </r>
    <r>
      <rPr>
        <vertAlign val="superscript"/>
        <sz val="10"/>
        <rFont val="Times New Roman"/>
        <family val="1"/>
      </rPr>
      <t>c</t>
    </r>
  </si>
  <si>
    <t>Quarterly excess emissions reports</t>
  </si>
  <si>
    <t>Application for construction, reconstruction, and modification</t>
  </si>
  <si>
    <t>Notification of modification</t>
  </si>
  <si>
    <t>Notification of anticipated startup</t>
  </si>
  <si>
    <r>
      <t xml:space="preserve">Quarterly excess emissions reports </t>
    </r>
    <r>
      <rPr>
        <vertAlign val="superscript"/>
        <sz val="10"/>
        <rFont val="Times New Roman"/>
        <family val="1"/>
      </rPr>
      <t>g</t>
    </r>
  </si>
  <si>
    <r>
      <t xml:space="preserve">B.  Create information </t>
    </r>
    <r>
      <rPr>
        <vertAlign val="superscript"/>
        <sz val="10"/>
        <rFont val="Times New Roman"/>
        <family val="1"/>
      </rPr>
      <t>d</t>
    </r>
  </si>
  <si>
    <t>Existing (major)</t>
  </si>
  <si>
    <t>Existing (area)</t>
  </si>
  <si>
    <t>Formaldehyde</t>
  </si>
  <si>
    <t>a  EPA estimates 406 existing major sources and 450 existing incidental/area sources will be subject to the standard.  No new major or area sources will become subject over the next 3 years.</t>
  </si>
  <si>
    <t>e  EPA assumes 90% of sources will comply by using compliant coatings or by using the HAP averaging approach (406 x 0.9 = 365, after rounding ).</t>
  </si>
  <si>
    <t>f  EPA assumes 10% of sources will comply by using control devices.  However, only 95% are assumed to be in compliance at any given time, and would be required to submit reports semiannually rather than quarterly.  Therefore, the number of affected sources submitting semiannual reports is 39 (406 x 0.1 x 0.95 = 39, after rounding).</t>
  </si>
  <si>
    <t>e  EPA assumes 10% of sources will comply by using control devices.  However, only 95% are assumed to be in compliance at any given time, and would be required to submit reports semiannually rather than quarterly.  Therefore, the number of affected sources submitting semiannual reports is 39 (406 x 0.1 x 0.95 = 39, after rounding).</t>
  </si>
  <si>
    <t>g  EPA assumes 2 sources will submit quarterly reports (406 x 0.1 x (1 - 0.095) = 2, after rounding).</t>
  </si>
  <si>
    <t>See 4D</t>
  </si>
  <si>
    <r>
      <t xml:space="preserve">Notification of performance test </t>
    </r>
    <r>
      <rPr>
        <vertAlign val="superscript"/>
        <sz val="10"/>
        <rFont val="Times New Roman"/>
        <family val="1"/>
      </rPr>
      <t>c</t>
    </r>
  </si>
  <si>
    <t>changed frequency to once per year</t>
  </si>
  <si>
    <r>
      <t>Notification of applicability (one-time)</t>
    </r>
    <r>
      <rPr>
        <vertAlign val="superscript"/>
        <sz val="10"/>
        <rFont val="Times New Roman"/>
        <family val="1"/>
      </rPr>
      <t>a</t>
    </r>
  </si>
  <si>
    <r>
      <t>Notification of increased annual VHAP usage</t>
    </r>
    <r>
      <rPr>
        <vertAlign val="superscript"/>
        <sz val="10"/>
        <rFont val="Times New Roman"/>
        <family val="1"/>
      </rPr>
      <t>d</t>
    </r>
  </si>
  <si>
    <t xml:space="preserve">d EPA does not estimate any sources will need to report a notification of increased annual VHAP usage. </t>
  </si>
  <si>
    <r>
      <t xml:space="preserve">Semiannual compliance status reports (compliant coatings) </t>
    </r>
    <r>
      <rPr>
        <vertAlign val="superscript"/>
        <sz val="10"/>
        <rFont val="Times New Roman"/>
        <family val="1"/>
      </rPr>
      <t>e</t>
    </r>
  </si>
  <si>
    <r>
      <t xml:space="preserve">Semiannual compliance status reports (control devices) </t>
    </r>
    <r>
      <rPr>
        <vertAlign val="superscript"/>
        <sz val="10"/>
        <rFont val="Times New Roman"/>
        <family val="1"/>
      </rPr>
      <t>f</t>
    </r>
  </si>
  <si>
    <t>new note</t>
  </si>
  <si>
    <t>noel to update the note based on new rates and data source.</t>
  </si>
  <si>
    <t>Notification of compliance status</t>
  </si>
  <si>
    <t>Included in semi-annual compliance status report counts.</t>
  </si>
  <si>
    <t>edited note; areas sources are not subject to this training.</t>
  </si>
  <si>
    <t>edited # of sources subject to this requirement, this now matches the # of sources keeping records for the training and matches the requirements in the rule.</t>
  </si>
  <si>
    <t>edited the note to make it clear what area sources are required to do.</t>
  </si>
  <si>
    <t>h  This is a one-time requirement. EPA assumes only the resconstructed or modified sources will require this plan to be created or updated to reflect new operations. Other sources are assumed to already have a plan on file. This plan is not required to be submitted, but only kept on-site as a record.</t>
  </si>
  <si>
    <r>
      <t xml:space="preserve">    Records of applicability</t>
    </r>
    <r>
      <rPr>
        <vertAlign val="superscript"/>
        <sz val="10"/>
        <rFont val="Times New Roman"/>
        <family val="1"/>
      </rPr>
      <t>i</t>
    </r>
  </si>
  <si>
    <r>
      <t xml:space="preserve">    Records of performance test</t>
    </r>
    <r>
      <rPr>
        <vertAlign val="superscript"/>
        <sz val="10"/>
        <rFont val="Times New Roman"/>
        <family val="1"/>
      </rPr>
      <t>c</t>
    </r>
  </si>
  <si>
    <t>i Records of applicability is a one-time requirement. EPA assumes only the reconstructed or modified sources will require to create this record. Other existing sources have previously created this record.</t>
  </si>
  <si>
    <t>j EPA assumes all major sources will record information once per month.</t>
  </si>
  <si>
    <r>
      <t>Records of types and quantities of materials used, including VHAP, VOC, viscosity and solids content data</t>
    </r>
    <r>
      <rPr>
        <vertAlign val="superscript"/>
        <sz val="10"/>
        <rFont val="Times New Roman"/>
        <family val="1"/>
      </rPr>
      <t>j</t>
    </r>
  </si>
  <si>
    <r>
      <t>Records of formaldehyde content</t>
    </r>
    <r>
      <rPr>
        <vertAlign val="superscript"/>
        <sz val="10"/>
        <rFont val="Times New Roman"/>
        <family val="1"/>
      </rPr>
      <t>k</t>
    </r>
  </si>
  <si>
    <r>
      <t>Records of CMS parameters</t>
    </r>
    <r>
      <rPr>
        <vertAlign val="superscript"/>
        <sz val="10"/>
        <rFont val="Times New Roman"/>
        <family val="1"/>
      </rPr>
      <t>l</t>
    </r>
  </si>
  <si>
    <r>
      <t>Records of monthly averaging calculations</t>
    </r>
    <r>
      <rPr>
        <vertAlign val="superscript"/>
        <sz val="10"/>
        <rFont val="Times New Roman"/>
        <family val="1"/>
      </rPr>
      <t>m</t>
    </r>
  </si>
  <si>
    <r>
      <t>Records of operators training work practice</t>
    </r>
    <r>
      <rPr>
        <vertAlign val="superscript"/>
        <sz val="10"/>
        <rFont val="Times New Roman"/>
        <family val="1"/>
      </rPr>
      <t>n</t>
    </r>
  </si>
  <si>
    <t>l  EPA assumes 10% of affected sources will use control devices to comply with the standard (406 x 0.1 = 41, after rounding).</t>
  </si>
  <si>
    <t>m  EPA assumes that of the 90% of affected sources that use the compliant coatings or emissions averagin approach, 25% will use the HAP averaging approach and must keep the records to support the calculations (406 x 0.9 x 0.25 = 91 , after rounding).</t>
  </si>
  <si>
    <t>new row - inspections have to occur monthly</t>
  </si>
  <si>
    <r>
      <t>Records of other work practices (inspection and maintenance, solvent accounting, formulation assessment)</t>
    </r>
    <r>
      <rPr>
        <vertAlign val="superscript"/>
        <sz val="10"/>
        <rFont val="Times New Roman"/>
        <family val="1"/>
      </rPr>
      <t>o</t>
    </r>
  </si>
  <si>
    <r>
      <t>Records of quarterly reports and supporting calculations</t>
    </r>
    <r>
      <rPr>
        <vertAlign val="superscript"/>
        <sz val="10"/>
        <rFont val="Times New Roman"/>
        <family val="1"/>
      </rPr>
      <t>g</t>
    </r>
  </si>
  <si>
    <r>
      <t>Records of semi-annual reports and supporting calculations</t>
    </r>
    <r>
      <rPr>
        <vertAlign val="superscript"/>
        <sz val="10"/>
        <rFont val="Times New Roman"/>
        <family val="1"/>
      </rPr>
      <t>e,f</t>
    </r>
  </si>
  <si>
    <r>
      <t>Records of start-up, shutdown and malfunction</t>
    </r>
    <r>
      <rPr>
        <vertAlign val="superscript"/>
        <sz val="10"/>
        <rFont val="Times New Roman"/>
        <family val="1"/>
      </rPr>
      <t>p</t>
    </r>
  </si>
  <si>
    <t>o  EPA assumes all major sources will conduct monthly inspections and maintain records of these and other work practices.</t>
  </si>
  <si>
    <t xml:space="preserve">p EPA assumes that 10% of all sources using control devices (0.1 x 41 = 4, when rounded) will have startup, shutdown, or malfunction records to document once per month. </t>
  </si>
  <si>
    <r>
      <t xml:space="preserve">E.  Records for incidental and area sources </t>
    </r>
    <r>
      <rPr>
        <vertAlign val="superscript"/>
        <sz val="10"/>
        <rFont val="Times New Roman"/>
        <family val="1"/>
      </rPr>
      <t>q</t>
    </r>
  </si>
  <si>
    <t>q EPA assumes 450 affected incidental/area sources per year will record information once per month in order to demonstrate they are an area source, pursuant to 40 CFR Part 63 Subpart JJ, 63.800(b)(1)-(3).</t>
  </si>
  <si>
    <t>r  Totals have been rounded to 3 significant figures. Figures may not add exactly due to rounding.</t>
  </si>
  <si>
    <r>
      <t>F.  Annual personnel refresher course</t>
    </r>
    <r>
      <rPr>
        <vertAlign val="superscript"/>
        <sz val="10"/>
        <rFont val="Times New Roman"/>
        <family val="1"/>
      </rPr>
      <t>n</t>
    </r>
  </si>
  <si>
    <t>n  EPA assumes all major sources will participate in the annual personnel refresher course once per year and record the training participation.</t>
  </si>
  <si>
    <r>
      <t>TOTAL ANNUAL BURDEN AND COST (rounded)</t>
    </r>
    <r>
      <rPr>
        <b/>
        <vertAlign val="superscript"/>
        <sz val="10"/>
        <rFont val="Times New Roman"/>
        <family val="1"/>
      </rPr>
      <t>r</t>
    </r>
  </si>
  <si>
    <r>
      <t>TOTAL CAPITAL AND O&amp;M COST (rounded)</t>
    </r>
    <r>
      <rPr>
        <b/>
        <vertAlign val="superscript"/>
        <sz val="10"/>
        <color rgb="FF000000"/>
        <rFont val="Times New Roman"/>
        <family val="1"/>
      </rPr>
      <t>r</t>
    </r>
  </si>
  <si>
    <r>
      <t>GRAND TOTAL (rounded)</t>
    </r>
    <r>
      <rPr>
        <b/>
        <vertAlign val="superscript"/>
        <sz val="10"/>
        <color rgb="FF000000"/>
        <rFont val="Times New Roman"/>
        <family val="1"/>
      </rPr>
      <t>r</t>
    </r>
  </si>
  <si>
    <t>A.  Familiarization with the regulatory requirements</t>
  </si>
  <si>
    <t>Notification of applicability (one-time)</t>
  </si>
  <si>
    <t>Records for incidental and area sources</t>
  </si>
  <si>
    <t>b  This ICR uses the following labor rates: $112.98 (technical), $149.35 (managerial), and $54.81 (clerical).  These rates are from the United States Department of Labor, Bureau of Labor Statistics, June 2017, “Table 2. Civilian workers, by occupational and industry group.”  The rates are from column 1, “Total compensation.”  They have been increased by 110 percent to account for the benefit packages available to those employed by private industry.</t>
  </si>
  <si>
    <t>edited footnote to match assumption.</t>
  </si>
  <si>
    <t>Notification of performance test</t>
  </si>
  <si>
    <t>Notification of increased annual VHAP usage</t>
  </si>
  <si>
    <t>Table 2: Average Annual EPA Burden and Cost – NESHAP for Wood Furniture Manufacturing Operations (40 CFR Part 63, Subpart JJ) (Renewal)</t>
  </si>
  <si>
    <t>b  This ICR uses the following labor rates: $48.08 (technical), $64.80 (managerial), and $26.02 (clerical).  These rates are from the Office of Personnel Management (OPM), 2017 General Schedule, which excludes locality rates of pay.  The rates have been increased by 60 percent to account for the benefit packages available to government employees.</t>
  </si>
  <si>
    <t>k EPA estimates 150 major sources will use coatings containing formaldehyde.  These sources will be required to record the formaldehyde content of their coatings on a monthly basis.  Reporting of formaldehyde content will occur on an annual basis and will coincide with existing reporting requirements mentioned above. Therefore, the only burden incurred by sources will be that of documenting the information.</t>
  </si>
  <si>
    <r>
      <t>C. Performance Tests</t>
    </r>
    <r>
      <rPr>
        <vertAlign val="superscript"/>
        <sz val="10"/>
        <rFont val="Times New Roman"/>
        <family val="1"/>
      </rPr>
      <t>c</t>
    </r>
  </si>
  <si>
    <r>
      <t>D. Review notification of increased VHAP usage</t>
    </r>
    <r>
      <rPr>
        <vertAlign val="superscript"/>
        <sz val="10"/>
        <rFont val="Times New Roman"/>
        <family val="1"/>
      </rPr>
      <t>d</t>
    </r>
  </si>
  <si>
    <t xml:space="preserve">a  EPA estimates 406 existing major sources and 450 existing incidental/area sources will be subject to the standard.  No new major or area sources will become subject over the next 3 years therefore the one-time notification of applicability requirement does not apply.  Modified or reconstructed sources will submit their applicability notifications as part of their notifications of construction or modification. We assume that each source subject to the standard will have to familiarize with the regulatory requirements each year. </t>
  </si>
  <si>
    <t>edited to add note about reviewing requrieements each year</t>
  </si>
  <si>
    <r>
      <t xml:space="preserve">E.  Review semiannual compliance status reports (compliant coatings)  </t>
    </r>
    <r>
      <rPr>
        <vertAlign val="superscript"/>
        <sz val="10"/>
        <rFont val="Times New Roman"/>
        <family val="1"/>
      </rPr>
      <t>e</t>
    </r>
  </si>
  <si>
    <r>
      <t xml:space="preserve">F.  Review semiannual compliance status reports (control devices) </t>
    </r>
    <r>
      <rPr>
        <vertAlign val="superscript"/>
        <sz val="10"/>
        <rFont val="Times New Roman"/>
        <family val="1"/>
      </rPr>
      <t>f</t>
    </r>
  </si>
  <si>
    <r>
      <t xml:space="preserve">G.  Review quarterly excess emission reports </t>
    </r>
    <r>
      <rPr>
        <vertAlign val="superscript"/>
        <sz val="10"/>
        <rFont val="Times New Roman"/>
        <family val="1"/>
      </rPr>
      <t>g</t>
    </r>
  </si>
  <si>
    <t>h  EPA estimates 150 major sources will use coatings containing formaldehyde.  These sources will be required to record the formaldehyde content of their coatings on a monthly basis.  Reporting of formaldehyde content will occur on an annual basis and will coincide with existing reporting requirements. Therefore, the only burden incurred by sources will be that of recording the information.</t>
  </si>
  <si>
    <r>
      <t xml:space="preserve">H.  Review annual records of formaldehyde content </t>
    </r>
    <r>
      <rPr>
        <vertAlign val="superscript"/>
        <sz val="10"/>
        <rFont val="Times New Roman"/>
        <family val="1"/>
      </rPr>
      <t>h</t>
    </r>
  </si>
  <si>
    <r>
      <t>TOTAL LABOR BURDEN AND COST (ROUNDED)</t>
    </r>
    <r>
      <rPr>
        <b/>
        <vertAlign val="superscript"/>
        <sz val="10"/>
        <rFont val="Times New Roman"/>
        <family val="1"/>
      </rPr>
      <t>i</t>
    </r>
  </si>
  <si>
    <t>i  Totals have been rounded to 3 significant figures. Figures may not add exactly due to rounding.</t>
  </si>
  <si>
    <t>this row was missing previously</t>
  </si>
  <si>
    <r>
      <t>Prepare work practice standards implementation plan</t>
    </r>
    <r>
      <rPr>
        <vertAlign val="superscript"/>
        <sz val="10"/>
        <rFont val="Times New Roman"/>
        <family val="1"/>
      </rPr>
      <t>h</t>
    </r>
  </si>
  <si>
    <r>
      <t>Prepare leak inspection and mainteance plan</t>
    </r>
    <r>
      <rPr>
        <vertAlign val="superscript"/>
        <sz val="10"/>
        <rFont val="Times New Roman"/>
        <family val="1"/>
      </rPr>
      <t>h</t>
    </r>
  </si>
  <si>
    <r>
      <t>Formulation assessment plan</t>
    </r>
    <r>
      <rPr>
        <vertAlign val="superscript"/>
        <sz val="10"/>
        <rFont val="Times New Roman"/>
        <family val="1"/>
      </rPr>
      <t>h</t>
    </r>
  </si>
  <si>
    <t>new footnote to match new burden line item and assumption</t>
  </si>
  <si>
    <t>c  EPA assumes 3% of sources will apply for reconstruction (406 x 0.03 = 12, after rounding) and 10% will apply for modification (406 x 0.1 = 41, after rounding). Of these 53 sources, 10% of the sources (rounded to 5 sources) will comply using control devices and be required to submit notification of the performance test.</t>
  </si>
  <si>
    <t xml:space="preserve">this is just records not a report. See supporting statement and 63.806(b)-(d). Also, it appears that the records were listed as weekly previously, but monthly is the highest number I see in the rule. </t>
  </si>
  <si>
    <t>ERG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</si>
</sst>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3" formatCode="_(* #,##0.00_);_(* \(#,##0.00\);_(* &quot;-&quot;??_);_(@_)"/>
    <numFmt numFmtId="164" formatCode="&quot;$&quot;#,##0.00"/>
    <numFmt numFmtId="165" formatCode="#,##0.0"/>
    <numFmt numFmtId="166" formatCode="0.0"/>
  </numFmts>
  <fonts count="17" x14ac:knownFonts="1">
    <font>
      <sz val="10"/>
      <color theme="1"/>
      <name val="Arial"/>
      <family val="2"/>
    </font>
    <font>
      <sz val="10"/>
      <name val="Times New Roman"/>
      <family val="1"/>
    </font>
    <font>
      <b/>
      <sz val="10"/>
      <name val="Times New Roman"/>
      <family val="1"/>
    </font>
    <font>
      <b/>
      <vertAlign val="superscript"/>
      <sz val="10"/>
      <name val="Times New Roman"/>
      <family val="1"/>
    </font>
    <font>
      <b/>
      <sz val="12"/>
      <color rgb="FF000000"/>
      <name val="Times New Roman"/>
      <family val="1"/>
    </font>
    <font>
      <sz val="9"/>
      <color rgb="FF000000"/>
      <name val="Times New Roman"/>
      <family val="1"/>
    </font>
    <font>
      <sz val="9"/>
      <color theme="1"/>
      <name val="Times New Roman"/>
      <family val="1"/>
    </font>
    <font>
      <sz val="9"/>
      <name val="Times New Roman"/>
      <family val="1"/>
    </font>
    <font>
      <sz val="10"/>
      <color rgb="FF000000"/>
      <name val="Times New Roman"/>
      <family val="1"/>
    </font>
    <font>
      <b/>
      <sz val="12"/>
      <name val="Times New Roman"/>
      <family val="1"/>
    </font>
    <font>
      <vertAlign val="superscript"/>
      <sz val="10"/>
      <name val="Times New Roman"/>
      <family val="1"/>
    </font>
    <font>
      <b/>
      <i/>
      <sz val="10"/>
      <name val="Times New Roman"/>
      <family val="1"/>
    </font>
    <font>
      <sz val="10"/>
      <color rgb="FFFF0000"/>
      <name val="Times New Roman"/>
      <family val="1"/>
    </font>
    <font>
      <sz val="10"/>
      <color theme="1"/>
      <name val="Arial"/>
      <family val="2"/>
    </font>
    <font>
      <b/>
      <sz val="10"/>
      <color rgb="FF000000"/>
      <name val="Times New Roman"/>
      <family val="1"/>
    </font>
    <font>
      <b/>
      <vertAlign val="superscript"/>
      <sz val="10"/>
      <color rgb="FF000000"/>
      <name val="Times New Roman"/>
      <family val="1"/>
    </font>
    <font>
      <sz val="10"/>
      <color theme="1"/>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43" fontId="13" fillId="0" borderId="0" applyFont="0" applyFill="0" applyBorder="0" applyAlignment="0" applyProtection="0"/>
  </cellStyleXfs>
  <cellXfs count="118">
    <xf numFmtId="0" fontId="0" fillId="0" borderId="0" xfId="0"/>
    <xf numFmtId="0" fontId="1" fillId="0" borderId="0" xfId="0" applyNumberFormat="1" applyFont="1" applyFill="1" applyAlignment="1"/>
    <xf numFmtId="0" fontId="2" fillId="0" borderId="1" xfId="0" applyNumberFormat="1" applyFont="1" applyFill="1" applyBorder="1" applyAlignment="1">
      <alignment horizontal="center"/>
    </xf>
    <xf numFmtId="0" fontId="1" fillId="0" borderId="0" xfId="0" applyNumberFormat="1" applyFont="1" applyAlignment="1"/>
    <xf numFmtId="0" fontId="1" fillId="0" borderId="0" xfId="0" applyFont="1" applyAlignment="1"/>
    <xf numFmtId="0" fontId="1" fillId="0" borderId="0" xfId="0" applyNumberFormat="1" applyFont="1" applyFill="1" applyAlignment="1">
      <alignment wrapText="1"/>
    </xf>
    <xf numFmtId="0" fontId="1" fillId="0" borderId="0" xfId="0" applyNumberFormat="1" applyFont="1" applyAlignment="1">
      <alignment wrapText="1"/>
    </xf>
    <xf numFmtId="0" fontId="1" fillId="0" borderId="0" xfId="0" applyFont="1"/>
    <xf numFmtId="0" fontId="1" fillId="0" borderId="0" xfId="0" applyFont="1" applyFill="1"/>
    <xf numFmtId="4" fontId="2" fillId="0" borderId="1" xfId="0" applyNumberFormat="1" applyFont="1" applyFill="1" applyBorder="1" applyAlignment="1">
      <alignment horizontal="center"/>
    </xf>
    <xf numFmtId="4" fontId="1" fillId="0" borderId="0" xfId="0" applyNumberFormat="1" applyFont="1"/>
    <xf numFmtId="4" fontId="1" fillId="0" borderId="0" xfId="0" applyNumberFormat="1" applyFont="1" applyFill="1"/>
    <xf numFmtId="3" fontId="1" fillId="0" borderId="0" xfId="0" applyNumberFormat="1" applyFont="1" applyFill="1"/>
    <xf numFmtId="0" fontId="2" fillId="0" borderId="1" xfId="0" applyNumberFormat="1" applyFont="1" applyFill="1" applyBorder="1" applyAlignment="1">
      <alignment horizontal="center" vertical="center"/>
    </xf>
    <xf numFmtId="0" fontId="1" fillId="0" borderId="0" xfId="0" applyFont="1" applyFill="1" applyAlignment="1">
      <alignment horizontal="left" vertical="top"/>
    </xf>
    <xf numFmtId="0" fontId="1" fillId="0" borderId="0" xfId="0" applyNumberFormat="1" applyFont="1" applyFill="1" applyBorder="1" applyAlignment="1"/>
    <xf numFmtId="0" fontId="0" fillId="0" borderId="0" xfId="0" applyFont="1"/>
    <xf numFmtId="0" fontId="7" fillId="0" borderId="1" xfId="0" applyFont="1" applyBorder="1" applyAlignment="1">
      <alignment horizontal="center" vertical="top" wrapText="1"/>
    </xf>
    <xf numFmtId="0" fontId="6" fillId="0" borderId="1" xfId="0" applyFont="1" applyFill="1" applyBorder="1" applyAlignment="1">
      <alignment horizontal="center" vertical="top" wrapText="1"/>
    </xf>
    <xf numFmtId="0" fontId="9" fillId="0" borderId="0" xfId="0" applyFont="1" applyFill="1"/>
    <xf numFmtId="0" fontId="9" fillId="0" borderId="0" xfId="0" applyFont="1" applyFill="1" applyAlignment="1"/>
    <xf numFmtId="0" fontId="1" fillId="0" borderId="0" xfId="0" applyFont="1" applyFill="1" applyBorder="1" applyAlignment="1">
      <alignment horizontal="center"/>
    </xf>
    <xf numFmtId="0" fontId="8" fillId="0" borderId="5" xfId="0" applyFont="1" applyBorder="1" applyAlignment="1">
      <alignment horizontal="center" vertical="top" wrapText="1"/>
    </xf>
    <xf numFmtId="0" fontId="2" fillId="0" borderId="1" xfId="0" applyNumberFormat="1" applyFont="1" applyFill="1" applyBorder="1" applyAlignment="1">
      <alignment horizontal="center" wrapText="1"/>
    </xf>
    <xf numFmtId="0" fontId="8" fillId="0" borderId="6" xfId="0" applyFont="1" applyBorder="1" applyAlignment="1">
      <alignment horizontal="center" vertical="top" wrapText="1"/>
    </xf>
    <xf numFmtId="0" fontId="4" fillId="0" borderId="7" xfId="0" applyFont="1" applyBorder="1" applyAlignment="1">
      <alignment vertical="top" wrapText="1"/>
    </xf>
    <xf numFmtId="0" fontId="5" fillId="0" borderId="1" xfId="0" applyFont="1" applyBorder="1" applyAlignment="1">
      <alignment vertical="top" wrapText="1"/>
    </xf>
    <xf numFmtId="0" fontId="8" fillId="0" borderId="1" xfId="0" applyFont="1" applyBorder="1" applyAlignment="1">
      <alignment horizontal="center" vertical="top" wrapText="1"/>
    </xf>
    <xf numFmtId="3" fontId="8" fillId="0" borderId="1" xfId="0" applyNumberFormat="1" applyFont="1" applyBorder="1" applyAlignment="1">
      <alignment horizontal="center" vertical="top" wrapText="1"/>
    </xf>
    <xf numFmtId="0" fontId="8" fillId="0" borderId="6" xfId="0" applyFont="1" applyFill="1" applyBorder="1" applyAlignment="1">
      <alignment horizontal="center" vertical="top" wrapText="1"/>
    </xf>
    <xf numFmtId="0" fontId="1" fillId="0" borderId="0" xfId="0" quotePrefix="1" applyFont="1" applyFill="1"/>
    <xf numFmtId="164" fontId="1" fillId="0" borderId="0" xfId="0" applyNumberFormat="1" applyFont="1" applyFill="1" applyAlignment="1">
      <alignment horizontal="right" vertical="top"/>
    </xf>
    <xf numFmtId="0" fontId="1" fillId="0" borderId="0" xfId="0" applyFont="1" applyFill="1" applyBorder="1" applyAlignment="1">
      <alignment horizontal="left"/>
    </xf>
    <xf numFmtId="0" fontId="1" fillId="0" borderId="0" xfId="0" applyFont="1" applyFill="1" applyAlignment="1"/>
    <xf numFmtId="0" fontId="2" fillId="0" borderId="1" xfId="0" applyNumberFormat="1" applyFont="1" applyFill="1" applyBorder="1" applyAlignment="1">
      <alignment horizontal="center" wrapText="1"/>
    </xf>
    <xf numFmtId="164" fontId="1" fillId="0" borderId="0" xfId="0" applyNumberFormat="1" applyFont="1" applyFill="1" applyAlignment="1">
      <alignment horizontal="left" vertical="top"/>
    </xf>
    <xf numFmtId="0" fontId="1" fillId="0" borderId="0" xfId="0" applyFont="1" applyFill="1" applyAlignment="1">
      <alignment horizontal="left"/>
    </xf>
    <xf numFmtId="0" fontId="2" fillId="0" borderId="0" xfId="0" applyFont="1" applyFill="1"/>
    <xf numFmtId="0" fontId="1" fillId="0" borderId="1" xfId="0" applyFont="1" applyBorder="1"/>
    <xf numFmtId="3" fontId="1" fillId="0" borderId="1" xfId="0" applyNumberFormat="1" applyFont="1" applyFill="1" applyBorder="1"/>
    <xf numFmtId="0" fontId="2" fillId="2" borderId="1" xfId="0" applyFont="1" applyFill="1" applyBorder="1"/>
    <xf numFmtId="0" fontId="2" fillId="0" borderId="1" xfId="0" applyFont="1" applyFill="1" applyBorder="1" applyAlignment="1">
      <alignment horizontal="center" vertical="top" wrapText="1"/>
    </xf>
    <xf numFmtId="3" fontId="2" fillId="0" borderId="1" xfId="0" applyNumberFormat="1" applyFont="1" applyFill="1" applyBorder="1" applyAlignment="1">
      <alignment horizontal="right" vertical="top" wrapText="1"/>
    </xf>
    <xf numFmtId="0" fontId="2" fillId="0" borderId="1" xfId="0" applyFont="1" applyFill="1" applyBorder="1" applyAlignment="1">
      <alignment vertical="top" wrapText="1"/>
    </xf>
    <xf numFmtId="0" fontId="6" fillId="0" borderId="1" xfId="0" applyFont="1" applyFill="1" applyBorder="1" applyAlignment="1">
      <alignment vertical="top" wrapText="1"/>
    </xf>
    <xf numFmtId="0" fontId="12" fillId="0" borderId="0" xfId="0" applyFont="1"/>
    <xf numFmtId="6" fontId="1" fillId="0" borderId="0" xfId="0" applyNumberFormat="1" applyFont="1"/>
    <xf numFmtId="6" fontId="1" fillId="0" borderId="0" xfId="0" applyNumberFormat="1" applyFont="1" applyFill="1"/>
    <xf numFmtId="0" fontId="2" fillId="0" borderId="0" xfId="0" applyFont="1" applyFill="1" applyAlignment="1">
      <alignment vertical="top"/>
    </xf>
    <xf numFmtId="3" fontId="6" fillId="0" borderId="1" xfId="0" applyNumberFormat="1"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 fillId="0" borderId="1" xfId="0" applyFont="1" applyFill="1" applyBorder="1" applyAlignment="1">
      <alignment horizontal="left" vertical="top" wrapText="1" indent="2"/>
    </xf>
    <xf numFmtId="4" fontId="1" fillId="0" borderId="1" xfId="0" applyNumberFormat="1" applyFont="1" applyFill="1" applyBorder="1" applyAlignment="1">
      <alignment horizontal="right" vertical="top" wrapText="1"/>
    </xf>
    <xf numFmtId="0" fontId="1" fillId="0" borderId="1" xfId="0" applyFont="1" applyFill="1" applyBorder="1" applyAlignment="1">
      <alignment horizontal="left" vertical="top" wrapText="1"/>
    </xf>
    <xf numFmtId="1" fontId="1" fillId="0" borderId="1" xfId="0" applyNumberFormat="1" applyFont="1" applyFill="1" applyBorder="1" applyAlignment="1">
      <alignment horizontal="center" vertical="top" wrapText="1"/>
    </xf>
    <xf numFmtId="0" fontId="1" fillId="0" borderId="1" xfId="0" applyFont="1" applyFill="1" applyBorder="1" applyAlignment="1">
      <alignment vertical="top" wrapText="1"/>
    </xf>
    <xf numFmtId="165" fontId="1" fillId="0" borderId="1" xfId="0" applyNumberFormat="1" applyFont="1" applyFill="1" applyBorder="1" applyAlignment="1">
      <alignment horizontal="center" vertical="top" wrapText="1"/>
    </xf>
    <xf numFmtId="0" fontId="2" fillId="0" borderId="0" xfId="0" applyFont="1"/>
    <xf numFmtId="165" fontId="1" fillId="0" borderId="1" xfId="0" applyNumberFormat="1" applyFont="1" applyFill="1" applyBorder="1" applyAlignment="1">
      <alignment horizontal="right" vertical="top" wrapText="1"/>
    </xf>
    <xf numFmtId="0" fontId="11" fillId="0" borderId="1" xfId="0" applyFont="1" applyFill="1" applyBorder="1" applyAlignment="1">
      <alignment vertical="top" wrapText="1"/>
    </xf>
    <xf numFmtId="3" fontId="5" fillId="0" borderId="1" xfId="0" applyNumberFormat="1" applyFont="1" applyFill="1" applyBorder="1" applyAlignment="1">
      <alignment horizontal="center" vertical="top" wrapText="1"/>
    </xf>
    <xf numFmtId="0" fontId="5" fillId="0" borderId="1" xfId="0" applyFont="1" applyFill="1" applyBorder="1" applyAlignment="1">
      <alignment horizontal="left" vertical="top" wrapText="1"/>
    </xf>
    <xf numFmtId="0" fontId="7"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0" fillId="0" borderId="0" xfId="0" applyFont="1" applyFill="1"/>
    <xf numFmtId="0" fontId="12" fillId="0" borderId="0" xfId="0" applyFont="1" applyFill="1"/>
    <xf numFmtId="2" fontId="1" fillId="0" borderId="1" xfId="0" applyNumberFormat="1" applyFont="1" applyFill="1" applyBorder="1" applyAlignment="1">
      <alignment horizontal="right" vertical="top" wrapText="1"/>
    </xf>
    <xf numFmtId="166" fontId="1" fillId="0" borderId="1" xfId="0" applyNumberFormat="1" applyFont="1" applyFill="1" applyBorder="1" applyAlignment="1">
      <alignment horizontal="center" vertical="top" wrapText="1"/>
    </xf>
    <xf numFmtId="166" fontId="2" fillId="0" borderId="1" xfId="0" applyNumberFormat="1" applyFont="1" applyFill="1" applyBorder="1" applyAlignment="1">
      <alignment horizontal="center" vertical="top" wrapText="1"/>
    </xf>
    <xf numFmtId="164" fontId="1" fillId="3" borderId="0" xfId="0" applyNumberFormat="1" applyFont="1" applyFill="1" applyAlignment="1"/>
    <xf numFmtId="0" fontId="1" fillId="3" borderId="0" xfId="0" applyFont="1" applyFill="1"/>
    <xf numFmtId="0" fontId="14" fillId="0" borderId="0" xfId="0" applyFont="1" applyFill="1" applyBorder="1" applyAlignment="1">
      <alignment horizontal="left" indent="1"/>
    </xf>
    <xf numFmtId="0" fontId="1" fillId="0" borderId="1" xfId="0" applyFont="1" applyFill="1" applyBorder="1"/>
    <xf numFmtId="164" fontId="1" fillId="3" borderId="0" xfId="0" applyNumberFormat="1" applyFont="1" applyFill="1" applyAlignment="1">
      <alignment horizontal="right" vertical="top"/>
    </xf>
    <xf numFmtId="0" fontId="1" fillId="0" borderId="0" xfId="0" applyFont="1" applyAlignment="1">
      <alignment wrapText="1"/>
    </xf>
    <xf numFmtId="0" fontId="2" fillId="0" borderId="0" xfId="0" applyFont="1" applyAlignment="1">
      <alignment wrapText="1"/>
    </xf>
    <xf numFmtId="0" fontId="1" fillId="0" borderId="0" xfId="0" applyFont="1" applyFill="1" applyAlignment="1">
      <alignment wrapText="1"/>
    </xf>
    <xf numFmtId="0" fontId="12" fillId="0" borderId="0" xfId="0" applyFont="1" applyAlignment="1">
      <alignment wrapText="1"/>
    </xf>
    <xf numFmtId="0" fontId="0" fillId="0" borderId="0" xfId="0" applyFont="1" applyFill="1" applyBorder="1"/>
    <xf numFmtId="0" fontId="1" fillId="0" borderId="0" xfId="0" applyFont="1" applyFill="1" applyBorder="1" applyAlignment="1">
      <alignment horizontal="left" vertical="top" wrapText="1" indent="2"/>
    </xf>
    <xf numFmtId="0" fontId="0" fillId="0" borderId="0" xfId="0" applyFont="1" applyAlignment="1">
      <alignment horizontal="right"/>
    </xf>
    <xf numFmtId="3" fontId="0" fillId="0" borderId="0" xfId="0" applyNumberFormat="1" applyFont="1"/>
    <xf numFmtId="0" fontId="12" fillId="0" borderId="0" xfId="0" quotePrefix="1" applyFont="1" applyFill="1" applyAlignment="1">
      <alignment wrapText="1"/>
    </xf>
    <xf numFmtId="0" fontId="14" fillId="0" borderId="1" xfId="0" applyFont="1" applyFill="1" applyBorder="1" applyAlignment="1">
      <alignment horizontal="left"/>
    </xf>
    <xf numFmtId="0" fontId="16" fillId="0" borderId="0" xfId="0" applyFont="1" applyFill="1"/>
    <xf numFmtId="0" fontId="6" fillId="0" borderId="1" xfId="0" applyFont="1" applyFill="1" applyBorder="1" applyAlignment="1">
      <alignment horizontal="left" vertical="top" wrapText="1"/>
    </xf>
    <xf numFmtId="3" fontId="1" fillId="0" borderId="0" xfId="0" quotePrefix="1" applyNumberFormat="1" applyFont="1" applyFill="1"/>
    <xf numFmtId="0"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43" fontId="1" fillId="0" borderId="1" xfId="1" applyFont="1" applyFill="1" applyBorder="1" applyAlignment="1">
      <alignment horizontal="right" vertical="center" wrapText="1"/>
    </xf>
    <xf numFmtId="2" fontId="1" fillId="0" borderId="1" xfId="0" applyNumberFormat="1" applyFont="1" applyFill="1" applyBorder="1" applyAlignment="1">
      <alignment horizontal="right" vertical="center" wrapText="1"/>
    </xf>
    <xf numFmtId="0" fontId="1" fillId="0" borderId="1" xfId="0" applyFont="1" applyBorder="1" applyAlignment="1">
      <alignment vertical="center"/>
    </xf>
    <xf numFmtId="4" fontId="1" fillId="0" borderId="1" xfId="0" applyNumberFormat="1" applyFont="1" applyBorder="1" applyAlignment="1">
      <alignment vertical="center"/>
    </xf>
    <xf numFmtId="0" fontId="1"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right" vertical="center" wrapText="1"/>
    </xf>
    <xf numFmtId="165" fontId="1" fillId="0" borderId="1" xfId="0" applyNumberFormat="1" applyFont="1" applyFill="1" applyBorder="1" applyAlignment="1">
      <alignment horizontal="center" vertical="center" wrapText="1"/>
    </xf>
    <xf numFmtId="3" fontId="2" fillId="0" borderId="1" xfId="0" applyNumberFormat="1" applyFont="1" applyFill="1" applyBorder="1"/>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4" fillId="0" borderId="1" xfId="0" applyFont="1" applyBorder="1" applyAlignment="1">
      <alignment horizontal="center" vertical="top" wrapText="1"/>
    </xf>
    <xf numFmtId="0" fontId="2" fillId="0" borderId="1" xfId="0" applyNumberFormat="1" applyFont="1" applyFill="1" applyBorder="1" applyAlignment="1">
      <alignment horizontal="center" wrapText="1"/>
    </xf>
    <xf numFmtId="3" fontId="2" fillId="0" borderId="1" xfId="0" applyNumberFormat="1" applyFont="1" applyFill="1" applyBorder="1" applyAlignment="1">
      <alignment horizontal="center" vertical="center" wrapText="1"/>
    </xf>
    <xf numFmtId="0" fontId="1" fillId="0" borderId="0" xfId="0" applyFont="1" applyFill="1" applyAlignment="1">
      <alignment horizontal="left" wrapText="1"/>
    </xf>
    <xf numFmtId="2" fontId="1" fillId="0" borderId="0" xfId="0" applyNumberFormat="1" applyFont="1" applyFill="1" applyAlignment="1">
      <alignment horizontal="left" wrapText="1"/>
    </xf>
    <xf numFmtId="3" fontId="2" fillId="0" borderId="1" xfId="0" applyNumberFormat="1" applyFont="1" applyFill="1" applyBorder="1" applyAlignment="1">
      <alignment horizontal="center" vertical="top" wrapText="1"/>
    </xf>
    <xf numFmtId="0" fontId="2" fillId="0" borderId="1" xfId="0" applyNumberFormat="1" applyFont="1" applyFill="1" applyBorder="1" applyAlignment="1">
      <alignment horizontal="left" wrapText="1"/>
    </xf>
    <xf numFmtId="0" fontId="1" fillId="0" borderId="0" xfId="0" applyFont="1" applyFill="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tabSelected="1" workbookViewId="0">
      <selection activeCell="B1" sqref="B1"/>
    </sheetView>
  </sheetViews>
  <sheetFormatPr defaultRowHeight="12.75" x14ac:dyDescent="0.2"/>
  <cols>
    <col min="1" max="1" width="1" customWidth="1"/>
    <col min="2" max="2" width="9.7109375" customWidth="1"/>
    <col min="3" max="3" width="12.85546875" bestFit="1" customWidth="1"/>
    <col min="4" max="4" width="15.5703125" bestFit="1" customWidth="1"/>
    <col min="5" max="5" width="18.5703125" customWidth="1"/>
    <col min="6" max="6" width="15.5703125" bestFit="1" customWidth="1"/>
    <col min="7" max="7" width="12.85546875" customWidth="1"/>
  </cols>
  <sheetData>
    <row r="2" spans="2:8" ht="15.75" x14ac:dyDescent="0.2">
      <c r="B2" s="105" t="s">
        <v>36</v>
      </c>
      <c r="C2" s="106"/>
      <c r="D2" s="106"/>
      <c r="E2" s="106"/>
      <c r="F2" s="106"/>
      <c r="G2" s="107"/>
    </row>
    <row r="3" spans="2:8" ht="24" customHeight="1" x14ac:dyDescent="0.2">
      <c r="B3" s="25"/>
      <c r="C3" s="108" t="s">
        <v>37</v>
      </c>
      <c r="D3" s="109"/>
      <c r="E3" s="26" t="s">
        <v>38</v>
      </c>
      <c r="F3" s="108"/>
      <c r="G3" s="109"/>
    </row>
    <row r="4" spans="2:8" x14ac:dyDescent="0.2">
      <c r="B4" s="22"/>
      <c r="C4" s="24" t="s">
        <v>22</v>
      </c>
      <c r="D4" s="24" t="s">
        <v>23</v>
      </c>
      <c r="E4" s="24" t="s">
        <v>24</v>
      </c>
      <c r="F4" s="24" t="s">
        <v>25</v>
      </c>
      <c r="G4" s="24" t="s">
        <v>26</v>
      </c>
    </row>
    <row r="5" spans="2:8" ht="51" x14ac:dyDescent="0.2">
      <c r="B5" s="24" t="s">
        <v>39</v>
      </c>
      <c r="C5" s="24" t="s">
        <v>45</v>
      </c>
      <c r="D5" s="24" t="s">
        <v>40</v>
      </c>
      <c r="E5" s="29" t="s">
        <v>41</v>
      </c>
      <c r="F5" s="24" t="s">
        <v>42</v>
      </c>
      <c r="G5" s="24" t="s">
        <v>36</v>
      </c>
    </row>
    <row r="6" spans="2:8" x14ac:dyDescent="0.2">
      <c r="B6" s="24"/>
      <c r="C6" s="24"/>
      <c r="D6" s="24"/>
      <c r="E6" s="24"/>
      <c r="F6" s="24"/>
      <c r="G6" s="24" t="s">
        <v>43</v>
      </c>
    </row>
    <row r="7" spans="2:8" x14ac:dyDescent="0.2">
      <c r="B7" s="27">
        <v>1</v>
      </c>
      <c r="C7" s="27">
        <v>0</v>
      </c>
      <c r="D7" s="27">
        <v>406</v>
      </c>
      <c r="E7" s="27">
        <v>450</v>
      </c>
      <c r="F7" s="28">
        <v>0</v>
      </c>
      <c r="G7" s="27">
        <f>C7+D7+E7-F7</f>
        <v>856</v>
      </c>
    </row>
    <row r="8" spans="2:8" x14ac:dyDescent="0.2">
      <c r="B8" s="27">
        <v>2</v>
      </c>
      <c r="C8" s="27">
        <f>C7</f>
        <v>0</v>
      </c>
      <c r="D8" s="27">
        <v>406</v>
      </c>
      <c r="E8" s="27">
        <v>450</v>
      </c>
      <c r="F8" s="28">
        <f>F7</f>
        <v>0</v>
      </c>
      <c r="G8" s="27">
        <f t="shared" ref="G8:G9" si="0">C8+D8+E8-F8</f>
        <v>856</v>
      </c>
    </row>
    <row r="9" spans="2:8" x14ac:dyDescent="0.2">
      <c r="B9" s="27">
        <v>3</v>
      </c>
      <c r="C9" s="27">
        <f>C7</f>
        <v>0</v>
      </c>
      <c r="D9" s="27">
        <v>406</v>
      </c>
      <c r="E9" s="27">
        <v>450</v>
      </c>
      <c r="F9" s="28">
        <f>F7</f>
        <v>0</v>
      </c>
      <c r="G9" s="27">
        <f t="shared" si="0"/>
        <v>856</v>
      </c>
    </row>
    <row r="10" spans="2:8" s="16" customFormat="1" x14ac:dyDescent="0.2">
      <c r="B10" s="27" t="s">
        <v>44</v>
      </c>
      <c r="C10" s="28">
        <f>AVERAGE(C7:C9)</f>
        <v>0</v>
      </c>
      <c r="D10" s="28">
        <f t="shared" ref="D10:G10" si="1">AVERAGE(D7:D9)</f>
        <v>406</v>
      </c>
      <c r="E10" s="28">
        <f t="shared" si="1"/>
        <v>450</v>
      </c>
      <c r="F10" s="28">
        <f t="shared" si="1"/>
        <v>0</v>
      </c>
      <c r="G10" s="28">
        <f t="shared" si="1"/>
        <v>856</v>
      </c>
      <c r="H10" s="30"/>
    </row>
    <row r="11" spans="2:8" x14ac:dyDescent="0.2">
      <c r="H11" s="30"/>
    </row>
  </sheetData>
  <mergeCells count="3">
    <mergeCell ref="B2:G2"/>
    <mergeCell ref="C3:D3"/>
    <mergeCell ref="F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9"/>
  <sheetViews>
    <sheetView workbookViewId="0">
      <selection activeCell="I3" sqref="I3"/>
    </sheetView>
  </sheetViews>
  <sheetFormatPr defaultColWidth="9.140625" defaultRowHeight="12.75" x14ac:dyDescent="0.2"/>
  <cols>
    <col min="1" max="1" width="0.7109375" style="16" customWidth="1"/>
    <col min="2" max="2" width="31.28515625" style="16" customWidth="1"/>
    <col min="3" max="4" width="10" style="16" customWidth="1"/>
    <col min="5" max="5" width="16" style="16" customWidth="1"/>
    <col min="6" max="6" width="10.5703125" style="16" customWidth="1"/>
    <col min="7" max="8" width="9.140625" style="16"/>
    <col min="9" max="9" width="46.7109375" style="16" customWidth="1"/>
    <col min="10" max="15" width="9.140625" style="16"/>
    <col min="16" max="16" width="61.140625" style="16" customWidth="1"/>
    <col min="17" max="16384" width="9.140625" style="16"/>
  </cols>
  <sheetData>
    <row r="2" spans="2:17" ht="15.75" x14ac:dyDescent="0.2">
      <c r="B2" s="110" t="s">
        <v>16</v>
      </c>
      <c r="C2" s="110"/>
      <c r="D2" s="110"/>
      <c r="E2" s="110"/>
      <c r="F2" s="110"/>
    </row>
    <row r="3" spans="2:17" ht="72" x14ac:dyDescent="0.2">
      <c r="B3" s="18" t="s">
        <v>17</v>
      </c>
      <c r="C3" s="17" t="s">
        <v>30</v>
      </c>
      <c r="D3" s="64" t="s">
        <v>18</v>
      </c>
      <c r="E3" s="18" t="s">
        <v>19</v>
      </c>
      <c r="F3" s="18" t="s">
        <v>20</v>
      </c>
    </row>
    <row r="4" spans="2:17" ht="24" x14ac:dyDescent="0.2">
      <c r="B4" s="63" t="s">
        <v>72</v>
      </c>
      <c r="C4" s="62">
        <f>'Respondent Burden'!F5</f>
        <v>53</v>
      </c>
      <c r="D4" s="65">
        <v>1</v>
      </c>
      <c r="E4" s="65">
        <v>0</v>
      </c>
      <c r="F4" s="65">
        <f>C4*D4+E4</f>
        <v>53</v>
      </c>
      <c r="P4" s="80"/>
      <c r="Q4" s="80"/>
    </row>
    <row r="5" spans="2:17" x14ac:dyDescent="0.2">
      <c r="B5" s="87" t="s">
        <v>128</v>
      </c>
      <c r="C5" s="17">
        <v>0</v>
      </c>
      <c r="D5" s="64">
        <v>0</v>
      </c>
      <c r="E5" s="18">
        <v>0</v>
      </c>
      <c r="F5" s="65">
        <f>C5*D5+E5</f>
        <v>0</v>
      </c>
    </row>
    <row r="6" spans="2:17" x14ac:dyDescent="0.2">
      <c r="B6" s="63" t="s">
        <v>51</v>
      </c>
      <c r="C6" s="62">
        <f>'Respondent Burden'!F13</f>
        <v>12</v>
      </c>
      <c r="D6" s="65">
        <v>1</v>
      </c>
      <c r="E6" s="65">
        <v>0</v>
      </c>
      <c r="F6" s="65">
        <f t="shared" ref="F6:F16" si="0">C6*D6+E6</f>
        <v>12</v>
      </c>
      <c r="P6" s="81"/>
      <c r="Q6" s="80"/>
    </row>
    <row r="7" spans="2:17" x14ac:dyDescent="0.2">
      <c r="B7" s="63" t="s">
        <v>73</v>
      </c>
      <c r="C7" s="62">
        <f>'Respondent Burden'!F14</f>
        <v>41</v>
      </c>
      <c r="D7" s="62">
        <v>1</v>
      </c>
      <c r="E7" s="65">
        <v>0</v>
      </c>
      <c r="F7" s="65">
        <f t="shared" si="0"/>
        <v>41</v>
      </c>
      <c r="P7" s="81"/>
      <c r="Q7" s="80"/>
    </row>
    <row r="8" spans="2:17" x14ac:dyDescent="0.2">
      <c r="B8" s="63" t="s">
        <v>74</v>
      </c>
      <c r="C8" s="62">
        <f>'Respondent Burden'!F15</f>
        <v>53</v>
      </c>
      <c r="D8" s="62">
        <v>1</v>
      </c>
      <c r="E8" s="65">
        <v>0</v>
      </c>
      <c r="F8" s="65">
        <f t="shared" si="0"/>
        <v>53</v>
      </c>
      <c r="P8" s="81"/>
      <c r="Q8" s="80"/>
    </row>
    <row r="9" spans="2:17" x14ac:dyDescent="0.2">
      <c r="B9" s="63" t="s">
        <v>48</v>
      </c>
      <c r="C9" s="62">
        <f>'Respondent Burden'!F16</f>
        <v>53</v>
      </c>
      <c r="D9" s="62">
        <v>1</v>
      </c>
      <c r="E9" s="65">
        <v>0</v>
      </c>
      <c r="F9" s="65">
        <f t="shared" si="0"/>
        <v>53</v>
      </c>
      <c r="P9" s="81"/>
      <c r="Q9" s="80"/>
    </row>
    <row r="10" spans="2:17" x14ac:dyDescent="0.2">
      <c r="B10" s="55" t="s">
        <v>132</v>
      </c>
      <c r="C10" s="62">
        <v>5</v>
      </c>
      <c r="D10" s="62">
        <v>1</v>
      </c>
      <c r="E10" s="65">
        <v>0</v>
      </c>
      <c r="F10" s="65">
        <f t="shared" ref="F10:F12" si="1">C10*D10+E10</f>
        <v>5</v>
      </c>
      <c r="P10" s="81"/>
      <c r="Q10" s="80"/>
    </row>
    <row r="11" spans="2:17" x14ac:dyDescent="0.2">
      <c r="B11" s="55" t="s">
        <v>95</v>
      </c>
      <c r="C11" s="62">
        <v>0</v>
      </c>
      <c r="D11" s="62">
        <v>0</v>
      </c>
      <c r="E11" s="65">
        <v>0</v>
      </c>
      <c r="F11" s="65">
        <f t="shared" si="1"/>
        <v>0</v>
      </c>
      <c r="P11" s="81"/>
      <c r="Q11" s="80"/>
    </row>
    <row r="12" spans="2:17" ht="25.5" x14ac:dyDescent="0.2">
      <c r="B12" s="55" t="s">
        <v>133</v>
      </c>
      <c r="C12" s="62">
        <v>0</v>
      </c>
      <c r="D12" s="62">
        <v>0</v>
      </c>
      <c r="E12" s="65">
        <v>0</v>
      </c>
      <c r="F12" s="65">
        <f t="shared" si="1"/>
        <v>0</v>
      </c>
      <c r="P12" s="81"/>
      <c r="Q12" s="80"/>
    </row>
    <row r="13" spans="2:17" ht="28.5" x14ac:dyDescent="0.2">
      <c r="B13" s="55" t="s">
        <v>91</v>
      </c>
      <c r="C13" s="62">
        <f>'Respondent Burden'!F20</f>
        <v>365</v>
      </c>
      <c r="D13" s="62">
        <v>2</v>
      </c>
      <c r="E13" s="65">
        <v>0</v>
      </c>
      <c r="F13" s="65">
        <f>C13*D13+E13</f>
        <v>730</v>
      </c>
      <c r="H13" s="8"/>
      <c r="P13" s="81"/>
      <c r="Q13" s="80"/>
    </row>
    <row r="14" spans="2:17" ht="28.5" x14ac:dyDescent="0.2">
      <c r="B14" s="55" t="s">
        <v>92</v>
      </c>
      <c r="C14" s="62">
        <f>'Respondent Burden'!F21</f>
        <v>39</v>
      </c>
      <c r="D14" s="62">
        <v>2</v>
      </c>
      <c r="E14" s="65">
        <v>0</v>
      </c>
      <c r="F14" s="65">
        <f t="shared" si="0"/>
        <v>78</v>
      </c>
      <c r="P14" s="81"/>
      <c r="Q14" s="80"/>
    </row>
    <row r="15" spans="2:17" x14ac:dyDescent="0.2">
      <c r="B15" s="63" t="s">
        <v>71</v>
      </c>
      <c r="C15" s="62">
        <f>'Respondent Burden'!F22</f>
        <v>2</v>
      </c>
      <c r="D15" s="62">
        <v>4</v>
      </c>
      <c r="E15" s="65">
        <v>0</v>
      </c>
      <c r="F15" s="65">
        <f t="shared" si="0"/>
        <v>8</v>
      </c>
      <c r="P15" s="81"/>
      <c r="Q15" s="80"/>
    </row>
    <row r="16" spans="2:17" x14ac:dyDescent="0.2">
      <c r="B16" s="63" t="s">
        <v>129</v>
      </c>
      <c r="C16" s="62">
        <v>0</v>
      </c>
      <c r="D16" s="62">
        <v>0</v>
      </c>
      <c r="E16" s="65">
        <v>450</v>
      </c>
      <c r="F16" s="65">
        <f t="shared" si="0"/>
        <v>450</v>
      </c>
      <c r="P16" s="81"/>
      <c r="Q16" s="80"/>
    </row>
    <row r="17" spans="2:17" x14ac:dyDescent="0.2">
      <c r="B17" s="44"/>
      <c r="C17" s="44"/>
      <c r="D17" s="44"/>
      <c r="E17" s="18" t="s">
        <v>31</v>
      </c>
      <c r="F17" s="49">
        <f>SUM(F4:F16)</f>
        <v>1483</v>
      </c>
      <c r="G17" s="88"/>
      <c r="P17" s="81"/>
      <c r="Q17" s="80"/>
    </row>
    <row r="18" spans="2:17" x14ac:dyDescent="0.2">
      <c r="D18" s="66"/>
      <c r="E18" s="66"/>
      <c r="G18" s="30"/>
      <c r="P18" s="81"/>
      <c r="Q18" s="80"/>
    </row>
    <row r="19" spans="2:17" x14ac:dyDescent="0.2">
      <c r="E19" s="82"/>
      <c r="F19" s="83"/>
      <c r="G19" s="30"/>
      <c r="P19" s="81"/>
      <c r="Q19" s="80"/>
    </row>
  </sheetData>
  <mergeCells count="1">
    <mergeCell ref="B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zoomScale="90" zoomScaleNormal="90" zoomScaleSheetLayoutView="55" workbookViewId="0">
      <selection activeCell="B1" sqref="B1"/>
    </sheetView>
  </sheetViews>
  <sheetFormatPr defaultColWidth="9.140625" defaultRowHeight="12.75" x14ac:dyDescent="0.2"/>
  <cols>
    <col min="1" max="1" width="0.7109375" style="7" customWidth="1"/>
    <col min="2" max="2" width="47.7109375" style="7" customWidth="1"/>
    <col min="3" max="3" width="15.140625" style="7" bestFit="1" customWidth="1"/>
    <col min="4" max="4" width="19.140625" style="7" bestFit="1" customWidth="1"/>
    <col min="5" max="5" width="17.28515625" style="7" customWidth="1"/>
    <col min="6" max="6" width="13" style="7" bestFit="1" customWidth="1"/>
    <col min="7" max="7" width="11.42578125" style="7" bestFit="1" customWidth="1"/>
    <col min="8" max="8" width="15" style="7" bestFit="1" customWidth="1"/>
    <col min="9" max="9" width="14.42578125" style="7" customWidth="1"/>
    <col min="10" max="10" width="14.85546875" style="10" customWidth="1"/>
    <col min="11" max="11" width="2" style="7" customWidth="1"/>
    <col min="12" max="12" width="22.42578125" style="76" customWidth="1"/>
    <col min="13" max="13" width="12.7109375" style="7" customWidth="1"/>
    <col min="14" max="14" width="13.7109375" style="7" customWidth="1"/>
    <col min="15" max="15" width="9.140625" style="7"/>
    <col min="16" max="16" width="5" style="7" customWidth="1"/>
    <col min="17" max="16384" width="9.140625" style="7"/>
  </cols>
  <sheetData>
    <row r="1" spans="1:14" ht="15.75" x14ac:dyDescent="0.25">
      <c r="A1" s="8"/>
      <c r="B1" s="19" t="s">
        <v>59</v>
      </c>
      <c r="C1" s="8"/>
      <c r="D1" s="8"/>
      <c r="E1" s="8"/>
      <c r="F1" s="8"/>
      <c r="G1" s="8"/>
      <c r="H1" s="8"/>
      <c r="I1" s="8"/>
      <c r="J1" s="11"/>
    </row>
    <row r="2" spans="1:14" x14ac:dyDescent="0.2">
      <c r="L2" s="77" t="s">
        <v>155</v>
      </c>
    </row>
    <row r="3" spans="1:14" s="3" customFormat="1" ht="14.25" customHeight="1" x14ac:dyDescent="0.2">
      <c r="A3" s="1"/>
      <c r="B3" s="111" t="s">
        <v>0</v>
      </c>
      <c r="C3" s="2" t="s">
        <v>1</v>
      </c>
      <c r="D3" s="2" t="s">
        <v>2</v>
      </c>
      <c r="E3" s="2" t="s">
        <v>3</v>
      </c>
      <c r="F3" s="2" t="s">
        <v>4</v>
      </c>
      <c r="G3" s="2" t="s">
        <v>5</v>
      </c>
      <c r="H3" s="2" t="s">
        <v>6</v>
      </c>
      <c r="I3" s="2" t="s">
        <v>7</v>
      </c>
      <c r="J3" s="9" t="s">
        <v>8</v>
      </c>
      <c r="L3" s="6"/>
      <c r="M3" s="4" t="s">
        <v>9</v>
      </c>
      <c r="N3" s="71">
        <v>112.98</v>
      </c>
    </row>
    <row r="4" spans="1:14" s="6" customFormat="1" ht="54" customHeight="1" x14ac:dyDescent="0.2">
      <c r="A4" s="5"/>
      <c r="B4" s="111"/>
      <c r="C4" s="89" t="s">
        <v>10</v>
      </c>
      <c r="D4" s="89" t="s">
        <v>11</v>
      </c>
      <c r="E4" s="89" t="s">
        <v>12</v>
      </c>
      <c r="F4" s="89" t="s">
        <v>27</v>
      </c>
      <c r="G4" s="89" t="s">
        <v>13</v>
      </c>
      <c r="H4" s="89" t="s">
        <v>28</v>
      </c>
      <c r="I4" s="89" t="s">
        <v>29</v>
      </c>
      <c r="J4" s="90" t="s">
        <v>21</v>
      </c>
      <c r="M4" s="4" t="s">
        <v>14</v>
      </c>
      <c r="N4" s="71">
        <v>149.35</v>
      </c>
    </row>
    <row r="5" spans="1:14" s="8" customFormat="1" ht="28.5" x14ac:dyDescent="0.2">
      <c r="B5" s="57" t="s">
        <v>64</v>
      </c>
      <c r="C5" s="91">
        <v>4</v>
      </c>
      <c r="D5" s="91">
        <v>1</v>
      </c>
      <c r="E5" s="92">
        <f>C5*D5</f>
        <v>4</v>
      </c>
      <c r="F5" s="93">
        <f>ROUND(0.03*N9+0.1*N9,0)</f>
        <v>53</v>
      </c>
      <c r="G5" s="93">
        <f>E5*F5</f>
        <v>212</v>
      </c>
      <c r="H5" s="94">
        <f>G5*0.05</f>
        <v>10.600000000000001</v>
      </c>
      <c r="I5" s="94">
        <f>G5*0.1</f>
        <v>21.200000000000003</v>
      </c>
      <c r="J5" s="95">
        <f>G5*$N$3+H5*$N$4+I5*$N$5</f>
        <v>26696.842000000004</v>
      </c>
      <c r="L5" s="78"/>
      <c r="M5" s="33" t="s">
        <v>15</v>
      </c>
      <c r="N5" s="71">
        <v>54.81</v>
      </c>
    </row>
    <row r="6" spans="1:14" x14ac:dyDescent="0.2">
      <c r="B6" s="57" t="s">
        <v>46</v>
      </c>
      <c r="C6" s="91" t="s">
        <v>47</v>
      </c>
      <c r="D6" s="91"/>
      <c r="E6" s="91"/>
      <c r="F6" s="94"/>
      <c r="G6" s="94"/>
      <c r="H6" s="94"/>
      <c r="I6" s="94"/>
      <c r="J6" s="96"/>
      <c r="K6" s="8"/>
      <c r="L6" s="78"/>
      <c r="N6" s="72"/>
    </row>
    <row r="7" spans="1:14" s="8" customFormat="1" x14ac:dyDescent="0.2">
      <c r="B7" s="57" t="s">
        <v>32</v>
      </c>
      <c r="C7" s="91"/>
      <c r="D7" s="91"/>
      <c r="E7" s="91"/>
      <c r="F7" s="94"/>
      <c r="G7" s="94"/>
      <c r="H7" s="94"/>
      <c r="I7" s="94"/>
      <c r="J7" s="96"/>
      <c r="L7" s="78"/>
    </row>
    <row r="8" spans="1:14" x14ac:dyDescent="0.2">
      <c r="A8" s="8"/>
      <c r="B8" s="50" t="s">
        <v>127</v>
      </c>
      <c r="C8" s="91">
        <v>1</v>
      </c>
      <c r="D8" s="91">
        <v>1</v>
      </c>
      <c r="E8" s="92">
        <f>C8*D8</f>
        <v>1</v>
      </c>
      <c r="F8" s="93">
        <f>N9+N10</f>
        <v>856</v>
      </c>
      <c r="G8" s="93">
        <f>E8*F8</f>
        <v>856</v>
      </c>
      <c r="H8" s="94">
        <f>G8*0.05</f>
        <v>42.800000000000004</v>
      </c>
      <c r="I8" s="94">
        <f>G8*0.1</f>
        <v>85.600000000000009</v>
      </c>
      <c r="J8" s="95">
        <f>G8*$N$3+H8*$N$4+I8*$N$5</f>
        <v>107794.796</v>
      </c>
      <c r="K8" s="45"/>
      <c r="L8" s="79"/>
      <c r="M8" s="40" t="s">
        <v>55</v>
      </c>
      <c r="N8" s="40" t="s">
        <v>54</v>
      </c>
    </row>
    <row r="9" spans="1:14" ht="15.75" x14ac:dyDescent="0.2">
      <c r="A9" s="8"/>
      <c r="B9" s="50" t="s">
        <v>76</v>
      </c>
      <c r="C9" s="91" t="s">
        <v>85</v>
      </c>
      <c r="D9" s="97"/>
      <c r="E9" s="97"/>
      <c r="F9" s="97"/>
      <c r="G9" s="97"/>
      <c r="H9" s="97"/>
      <c r="I9" s="97"/>
      <c r="J9" s="98"/>
      <c r="K9" s="45"/>
      <c r="L9" s="79"/>
      <c r="M9" s="38" t="s">
        <v>77</v>
      </c>
      <c r="N9" s="39">
        <v>406</v>
      </c>
    </row>
    <row r="10" spans="1:14" x14ac:dyDescent="0.2">
      <c r="A10" s="8"/>
      <c r="B10" s="50" t="s">
        <v>61</v>
      </c>
      <c r="C10" s="91" t="s">
        <v>57</v>
      </c>
      <c r="D10" s="91"/>
      <c r="E10" s="91"/>
      <c r="F10" s="94"/>
      <c r="G10" s="94"/>
      <c r="H10" s="94"/>
      <c r="I10" s="94"/>
      <c r="J10" s="96"/>
      <c r="K10" s="45"/>
      <c r="L10" s="79"/>
      <c r="M10" s="38" t="s">
        <v>78</v>
      </c>
      <c r="N10" s="39">
        <v>450</v>
      </c>
    </row>
    <row r="11" spans="1:14" x14ac:dyDescent="0.2">
      <c r="A11" s="8"/>
      <c r="B11" s="50" t="s">
        <v>62</v>
      </c>
      <c r="C11" s="91"/>
      <c r="D11" s="91"/>
      <c r="E11" s="91"/>
      <c r="F11" s="94"/>
      <c r="G11" s="94"/>
      <c r="H11" s="94"/>
      <c r="I11" s="94"/>
      <c r="J11" s="96"/>
      <c r="M11" s="38" t="s">
        <v>79</v>
      </c>
      <c r="N11" s="39">
        <v>150</v>
      </c>
    </row>
    <row r="12" spans="1:14" ht="15.75" x14ac:dyDescent="0.2">
      <c r="A12" s="8"/>
      <c r="B12" s="53" t="s">
        <v>88</v>
      </c>
      <c r="C12" s="91">
        <v>2</v>
      </c>
      <c r="D12" s="91">
        <v>1</v>
      </c>
      <c r="E12" s="92">
        <f t="shared" ref="E12:E13" si="0">C12*D12</f>
        <v>2</v>
      </c>
      <c r="F12" s="92">
        <v>0</v>
      </c>
      <c r="G12" s="93">
        <f t="shared" ref="G12:G19" si="1">E12*F12</f>
        <v>0</v>
      </c>
      <c r="H12" s="93">
        <f>G12*0.05</f>
        <v>0</v>
      </c>
      <c r="I12" s="93">
        <f>G12*0.1</f>
        <v>0</v>
      </c>
      <c r="J12" s="96">
        <f t="shared" ref="J12:J19" si="2">G12*$N$3+H12*$N$4+I12*$N$5</f>
        <v>0</v>
      </c>
      <c r="M12" s="38"/>
      <c r="N12" s="39"/>
    </row>
    <row r="13" spans="1:14" ht="15.75" x14ac:dyDescent="0.2">
      <c r="B13" s="53" t="s">
        <v>65</v>
      </c>
      <c r="C13" s="91">
        <v>2</v>
      </c>
      <c r="D13" s="91">
        <v>1</v>
      </c>
      <c r="E13" s="92">
        <f t="shared" si="0"/>
        <v>2</v>
      </c>
      <c r="F13" s="93">
        <f>ROUND(0.03*N9,0)</f>
        <v>12</v>
      </c>
      <c r="G13" s="93">
        <f t="shared" si="1"/>
        <v>24</v>
      </c>
      <c r="H13" s="94">
        <f>G13*0.05</f>
        <v>1.2000000000000002</v>
      </c>
      <c r="I13" s="94">
        <f>G13*0.1</f>
        <v>2.4000000000000004</v>
      </c>
      <c r="J13" s="95">
        <f t="shared" si="2"/>
        <v>3022.2839999999997</v>
      </c>
      <c r="M13" s="38" t="s">
        <v>50</v>
      </c>
      <c r="N13" s="39">
        <v>0</v>
      </c>
    </row>
    <row r="14" spans="1:14" ht="28.5" x14ac:dyDescent="0.2">
      <c r="B14" s="53" t="s">
        <v>66</v>
      </c>
      <c r="C14" s="91">
        <v>8</v>
      </c>
      <c r="D14" s="91">
        <v>1</v>
      </c>
      <c r="E14" s="92">
        <f t="shared" ref="E14" si="3">C14*D14</f>
        <v>8</v>
      </c>
      <c r="F14" s="93">
        <f>ROUND(0.1*N9,0)</f>
        <v>41</v>
      </c>
      <c r="G14" s="93">
        <f t="shared" si="1"/>
        <v>328</v>
      </c>
      <c r="H14" s="94">
        <f>G14*0.05</f>
        <v>16.400000000000002</v>
      </c>
      <c r="I14" s="94">
        <f>G14*0.1</f>
        <v>32.800000000000004</v>
      </c>
      <c r="J14" s="95">
        <f t="shared" si="2"/>
        <v>41304.548000000003</v>
      </c>
      <c r="M14" s="59"/>
    </row>
    <row r="15" spans="1:14" ht="28.5" x14ac:dyDescent="0.2">
      <c r="B15" s="53" t="s">
        <v>67</v>
      </c>
      <c r="C15" s="91">
        <v>2</v>
      </c>
      <c r="D15" s="91">
        <v>1</v>
      </c>
      <c r="E15" s="92">
        <f t="shared" ref="E15" si="4">C15*D15</f>
        <v>2</v>
      </c>
      <c r="F15" s="93">
        <f>F5</f>
        <v>53</v>
      </c>
      <c r="G15" s="93">
        <f t="shared" si="1"/>
        <v>106</v>
      </c>
      <c r="H15" s="94">
        <f t="shared" ref="H15" si="5">G15*0.05</f>
        <v>5.3000000000000007</v>
      </c>
      <c r="I15" s="94">
        <f t="shared" ref="I15" si="6">G15*0.1</f>
        <v>10.600000000000001</v>
      </c>
      <c r="J15" s="95">
        <f t="shared" si="2"/>
        <v>13348.421000000002</v>
      </c>
    </row>
    <row r="16" spans="1:14" ht="15.75" x14ac:dyDescent="0.2">
      <c r="B16" s="53" t="s">
        <v>68</v>
      </c>
      <c r="C16" s="91">
        <v>2</v>
      </c>
      <c r="D16" s="91">
        <v>1</v>
      </c>
      <c r="E16" s="92">
        <f t="shared" ref="E16" si="7">C16*D16</f>
        <v>2</v>
      </c>
      <c r="F16" s="93">
        <f>F5</f>
        <v>53</v>
      </c>
      <c r="G16" s="93">
        <f t="shared" si="1"/>
        <v>106</v>
      </c>
      <c r="H16" s="94">
        <f t="shared" ref="H16" si="8">G16*0.05</f>
        <v>5.3000000000000007</v>
      </c>
      <c r="I16" s="94">
        <f t="shared" ref="I16:I20" si="9">G16*0.1</f>
        <v>10.600000000000001</v>
      </c>
      <c r="J16" s="95">
        <f t="shared" si="2"/>
        <v>13348.421000000002</v>
      </c>
    </row>
    <row r="17" spans="2:13" s="8" customFormat="1" ht="15.75" x14ac:dyDescent="0.2">
      <c r="B17" s="53" t="s">
        <v>86</v>
      </c>
      <c r="C17" s="91">
        <v>2</v>
      </c>
      <c r="D17" s="91">
        <v>1</v>
      </c>
      <c r="E17" s="92">
        <f t="shared" ref="E17:E19" si="10">C17*D17</f>
        <v>2</v>
      </c>
      <c r="F17" s="93">
        <f>ROUND(F5*0.1,0)</f>
        <v>5</v>
      </c>
      <c r="G17" s="93">
        <f t="shared" si="1"/>
        <v>10</v>
      </c>
      <c r="H17" s="94">
        <f t="shared" ref="H17" si="11">G17*0.05</f>
        <v>0.5</v>
      </c>
      <c r="I17" s="93">
        <f t="shared" ref="I17" si="12">G17*0.1</f>
        <v>1</v>
      </c>
      <c r="J17" s="95">
        <f t="shared" si="2"/>
        <v>1259.2849999999999</v>
      </c>
      <c r="L17" s="78"/>
    </row>
    <row r="18" spans="2:13" s="8" customFormat="1" x14ac:dyDescent="0.2">
      <c r="B18" s="53" t="s">
        <v>95</v>
      </c>
      <c r="C18" s="99" t="s">
        <v>96</v>
      </c>
      <c r="D18" s="91"/>
      <c r="E18" s="92"/>
      <c r="F18" s="94"/>
      <c r="G18" s="94"/>
      <c r="H18" s="94"/>
      <c r="I18" s="94"/>
      <c r="J18" s="96"/>
      <c r="L18" s="78"/>
    </row>
    <row r="19" spans="2:13" s="8" customFormat="1" ht="15.75" x14ac:dyDescent="0.2">
      <c r="B19" s="53" t="s">
        <v>89</v>
      </c>
      <c r="C19" s="91">
        <v>2</v>
      </c>
      <c r="D19" s="91">
        <v>1</v>
      </c>
      <c r="E19" s="92">
        <f t="shared" si="10"/>
        <v>2</v>
      </c>
      <c r="F19" s="93">
        <v>0</v>
      </c>
      <c r="G19" s="93">
        <f t="shared" si="1"/>
        <v>0</v>
      </c>
      <c r="H19" s="93">
        <f t="shared" ref="H19" si="13">G19*0.05</f>
        <v>0</v>
      </c>
      <c r="I19" s="93">
        <f t="shared" ref="I19" si="14">G19*0.1</f>
        <v>0</v>
      </c>
      <c r="J19" s="95">
        <f t="shared" si="2"/>
        <v>0</v>
      </c>
      <c r="L19" s="78"/>
    </row>
    <row r="20" spans="2:13" ht="28.5" x14ac:dyDescent="0.2">
      <c r="B20" s="53" t="s">
        <v>91</v>
      </c>
      <c r="C20" s="91">
        <v>4</v>
      </c>
      <c r="D20" s="91">
        <v>2</v>
      </c>
      <c r="E20" s="92">
        <f t="shared" ref="E20:E21" si="15">C20*D20</f>
        <v>8</v>
      </c>
      <c r="F20" s="93">
        <f>ROUND(N9*0.9,0)</f>
        <v>365</v>
      </c>
      <c r="G20" s="92">
        <f t="shared" ref="G20" si="16">E20*F20</f>
        <v>2920</v>
      </c>
      <c r="H20" s="94">
        <f>G20*0.05</f>
        <v>146</v>
      </c>
      <c r="I20" s="94">
        <f t="shared" si="9"/>
        <v>292</v>
      </c>
      <c r="J20" s="95">
        <f t="shared" ref="J20" si="17">G20*$N$3+H20*$N$4+I20*$N$5</f>
        <v>367711.22000000003</v>
      </c>
    </row>
    <row r="21" spans="2:13" ht="28.5" x14ac:dyDescent="0.2">
      <c r="B21" s="53" t="s">
        <v>92</v>
      </c>
      <c r="C21" s="91">
        <v>4</v>
      </c>
      <c r="D21" s="91">
        <v>2</v>
      </c>
      <c r="E21" s="92">
        <f t="shared" si="15"/>
        <v>8</v>
      </c>
      <c r="F21" s="93">
        <f>ROUND(N9*0.1*0.95,0)</f>
        <v>39</v>
      </c>
      <c r="G21" s="93">
        <f>E21*F21</f>
        <v>312</v>
      </c>
      <c r="H21" s="94">
        <f>G21*0.05</f>
        <v>15.600000000000001</v>
      </c>
      <c r="I21" s="94">
        <f>G21*0.1</f>
        <v>31.200000000000003</v>
      </c>
      <c r="J21" s="95">
        <f>G21*$N$3+H21*$N$4+I21*$N$5</f>
        <v>39289.692000000003</v>
      </c>
    </row>
    <row r="22" spans="2:13" ht="15.75" x14ac:dyDescent="0.2">
      <c r="B22" s="53" t="s">
        <v>75</v>
      </c>
      <c r="C22" s="91">
        <v>4</v>
      </c>
      <c r="D22" s="91">
        <v>4</v>
      </c>
      <c r="E22" s="92">
        <f t="shared" ref="E22" si="18">C22*D22</f>
        <v>16</v>
      </c>
      <c r="F22" s="93">
        <f>ROUND(N9*0.1*0.05,0)</f>
        <v>2</v>
      </c>
      <c r="G22" s="93">
        <f>E22*F22</f>
        <v>32</v>
      </c>
      <c r="H22" s="94">
        <f>G22*0.05</f>
        <v>1.6</v>
      </c>
      <c r="I22" s="94">
        <f>G22*0.1</f>
        <v>3.2</v>
      </c>
      <c r="J22" s="95">
        <f>G22*$N$3+H22*$N$4+I22*$N$5</f>
        <v>4029.712</v>
      </c>
    </row>
    <row r="23" spans="2:13" ht="13.5" x14ac:dyDescent="0.2">
      <c r="B23" s="61" t="s">
        <v>52</v>
      </c>
      <c r="C23" s="100"/>
      <c r="D23" s="100"/>
      <c r="E23" s="100"/>
      <c r="F23" s="101"/>
      <c r="G23" s="112">
        <f>SUM(G5:I22)</f>
        <v>5641.9</v>
      </c>
      <c r="H23" s="112"/>
      <c r="I23" s="112"/>
      <c r="J23" s="102">
        <f>SUM(J5:J22)</f>
        <v>617805.22100000014</v>
      </c>
    </row>
    <row r="24" spans="2:13" x14ac:dyDescent="0.2">
      <c r="B24" s="57" t="s">
        <v>33</v>
      </c>
      <c r="C24" s="91"/>
      <c r="D24" s="91"/>
      <c r="E24" s="91"/>
      <c r="F24" s="94"/>
      <c r="G24" s="94"/>
      <c r="H24" s="94"/>
      <c r="I24" s="94"/>
      <c r="J24" s="96"/>
    </row>
    <row r="25" spans="2:13" x14ac:dyDescent="0.2">
      <c r="B25" s="50" t="s">
        <v>127</v>
      </c>
      <c r="C25" s="91" t="s">
        <v>49</v>
      </c>
      <c r="D25" s="91"/>
      <c r="E25" s="91"/>
      <c r="F25" s="94"/>
      <c r="G25" s="94"/>
      <c r="H25" s="94"/>
      <c r="I25" s="94"/>
      <c r="J25" s="96"/>
    </row>
    <row r="26" spans="2:13" x14ac:dyDescent="0.2">
      <c r="B26" s="50" t="s">
        <v>34</v>
      </c>
      <c r="C26" s="91" t="s">
        <v>47</v>
      </c>
      <c r="D26" s="91"/>
      <c r="E26" s="91"/>
      <c r="F26" s="94"/>
      <c r="G26" s="94"/>
      <c r="H26" s="94"/>
      <c r="I26" s="94"/>
      <c r="J26" s="96"/>
    </row>
    <row r="27" spans="2:13" x14ac:dyDescent="0.2">
      <c r="B27" s="50" t="s">
        <v>35</v>
      </c>
      <c r="C27" s="91" t="s">
        <v>47</v>
      </c>
      <c r="D27" s="91"/>
      <c r="E27" s="91"/>
      <c r="F27" s="94"/>
      <c r="G27" s="94"/>
      <c r="H27" s="94"/>
      <c r="I27" s="94"/>
      <c r="J27" s="96"/>
    </row>
    <row r="28" spans="2:13" ht="15.75" x14ac:dyDescent="0.2">
      <c r="B28" s="53" t="s">
        <v>149</v>
      </c>
      <c r="C28" s="91">
        <v>8</v>
      </c>
      <c r="D28" s="91">
        <v>1</v>
      </c>
      <c r="E28" s="92">
        <f t="shared" ref="E28:E33" si="19">C28*D28</f>
        <v>8</v>
      </c>
      <c r="F28" s="93">
        <v>53</v>
      </c>
      <c r="G28" s="93">
        <f t="shared" ref="G28:G29" si="20">E28*F28</f>
        <v>424</v>
      </c>
      <c r="H28" s="94">
        <f t="shared" ref="H28:H30" si="21">G28*0.05</f>
        <v>21.200000000000003</v>
      </c>
      <c r="I28" s="94">
        <f t="shared" ref="I28:I30" si="22">G28*0.1</f>
        <v>42.400000000000006</v>
      </c>
      <c r="J28" s="95">
        <f t="shared" ref="J28:J30" si="23">G28*$N$3+H28*$N$4+I28*$N$5</f>
        <v>53393.684000000008</v>
      </c>
    </row>
    <row r="29" spans="2:13" ht="15.75" x14ac:dyDescent="0.2">
      <c r="B29" s="53" t="s">
        <v>150</v>
      </c>
      <c r="C29" s="91">
        <v>8</v>
      </c>
      <c r="D29" s="91">
        <v>1</v>
      </c>
      <c r="E29" s="92">
        <f t="shared" si="19"/>
        <v>8</v>
      </c>
      <c r="F29" s="93">
        <v>53</v>
      </c>
      <c r="G29" s="93">
        <f t="shared" si="20"/>
        <v>424</v>
      </c>
      <c r="H29" s="94">
        <f t="shared" si="21"/>
        <v>21.200000000000003</v>
      </c>
      <c r="I29" s="94">
        <f t="shared" si="22"/>
        <v>42.400000000000006</v>
      </c>
      <c r="J29" s="95">
        <f t="shared" si="23"/>
        <v>53393.684000000008</v>
      </c>
    </row>
    <row r="30" spans="2:13" ht="15.75" x14ac:dyDescent="0.2">
      <c r="B30" s="53" t="s">
        <v>151</v>
      </c>
      <c r="C30" s="91">
        <v>8</v>
      </c>
      <c r="D30" s="91">
        <v>1</v>
      </c>
      <c r="E30" s="92">
        <f t="shared" si="19"/>
        <v>8</v>
      </c>
      <c r="F30" s="93">
        <v>53</v>
      </c>
      <c r="G30" s="93">
        <f>E30*F30</f>
        <v>424</v>
      </c>
      <c r="H30" s="94">
        <f t="shared" si="21"/>
        <v>21.200000000000003</v>
      </c>
      <c r="I30" s="94">
        <f t="shared" si="22"/>
        <v>42.400000000000006</v>
      </c>
      <c r="J30" s="95">
        <f t="shared" si="23"/>
        <v>53393.684000000008</v>
      </c>
    </row>
    <row r="31" spans="2:13" x14ac:dyDescent="0.2">
      <c r="B31" s="50" t="s">
        <v>60</v>
      </c>
      <c r="C31" s="91"/>
      <c r="D31" s="91"/>
      <c r="E31" s="91"/>
      <c r="F31" s="93"/>
      <c r="G31" s="93"/>
      <c r="H31" s="94"/>
      <c r="I31" s="94"/>
      <c r="J31" s="95"/>
      <c r="M31" s="46"/>
    </row>
    <row r="32" spans="2:13" ht="15.75" x14ac:dyDescent="0.2">
      <c r="B32" s="50" t="s">
        <v>101</v>
      </c>
      <c r="C32" s="91">
        <v>1</v>
      </c>
      <c r="D32" s="91">
        <v>1</v>
      </c>
      <c r="E32" s="92">
        <f t="shared" si="19"/>
        <v>1</v>
      </c>
      <c r="F32" s="93">
        <v>53</v>
      </c>
      <c r="G32" s="93">
        <f t="shared" ref="G32:G37" si="24">E32*F32</f>
        <v>53</v>
      </c>
      <c r="H32" s="94">
        <f t="shared" ref="H32" si="25">G32*0.05</f>
        <v>2.6500000000000004</v>
      </c>
      <c r="I32" s="94">
        <f t="shared" ref="I32" si="26">G32*0.1</f>
        <v>5.3000000000000007</v>
      </c>
      <c r="J32" s="95">
        <f t="shared" ref="J32" si="27">G32*$N$3+H32*$N$4+I32*$N$5</f>
        <v>6674.210500000001</v>
      </c>
      <c r="M32" s="46"/>
    </row>
    <row r="33" spans="1:15" ht="15.75" x14ac:dyDescent="0.2">
      <c r="B33" s="50" t="s">
        <v>102</v>
      </c>
      <c r="C33" s="91">
        <v>1</v>
      </c>
      <c r="D33" s="91">
        <v>1</v>
      </c>
      <c r="E33" s="92">
        <f t="shared" si="19"/>
        <v>1</v>
      </c>
      <c r="F33" s="93">
        <f>F17</f>
        <v>5</v>
      </c>
      <c r="G33" s="93">
        <f t="shared" si="24"/>
        <v>5</v>
      </c>
      <c r="H33" s="94">
        <f t="shared" ref="H33" si="28">G33*0.05</f>
        <v>0.25</v>
      </c>
      <c r="I33" s="94">
        <f t="shared" ref="I33" si="29">G33*0.1</f>
        <v>0.5</v>
      </c>
      <c r="J33" s="95">
        <f t="shared" ref="J33" si="30">G33*$N$3+H33*$N$4+I33*$N$5</f>
        <v>629.64249999999993</v>
      </c>
      <c r="M33" s="46"/>
    </row>
    <row r="34" spans="1:15" ht="41.25" x14ac:dyDescent="0.2">
      <c r="B34" s="53" t="s">
        <v>105</v>
      </c>
      <c r="C34" s="91">
        <v>1.5</v>
      </c>
      <c r="D34" s="91">
        <v>12</v>
      </c>
      <c r="E34" s="92">
        <f t="shared" ref="E34" si="31">C34*D34</f>
        <v>18</v>
      </c>
      <c r="F34" s="93">
        <f>F8</f>
        <v>856</v>
      </c>
      <c r="G34" s="92">
        <f t="shared" si="24"/>
        <v>15408</v>
      </c>
      <c r="H34" s="94">
        <f>G34*0.05</f>
        <v>770.40000000000009</v>
      </c>
      <c r="I34" s="94">
        <f>G34*0.1</f>
        <v>1540.8000000000002</v>
      </c>
      <c r="J34" s="95">
        <f>G34*$N$3+H34*$N$4+I34*$N$5</f>
        <v>1940306.328</v>
      </c>
      <c r="L34" s="7" t="s">
        <v>154</v>
      </c>
    </row>
    <row r="35" spans="1:15" s="8" customFormat="1" ht="15.75" x14ac:dyDescent="0.2">
      <c r="B35" s="53" t="s">
        <v>106</v>
      </c>
      <c r="C35" s="91">
        <v>2</v>
      </c>
      <c r="D35" s="91">
        <v>12</v>
      </c>
      <c r="E35" s="92">
        <f>C35*D35</f>
        <v>24</v>
      </c>
      <c r="F35" s="93">
        <f>N11</f>
        <v>150</v>
      </c>
      <c r="G35" s="92">
        <f t="shared" si="24"/>
        <v>3600</v>
      </c>
      <c r="H35" s="93">
        <f>G35*0.05</f>
        <v>180</v>
      </c>
      <c r="I35" s="93">
        <f>G35*0.1</f>
        <v>360</v>
      </c>
      <c r="J35" s="95">
        <f>G35*$N$3+H35*$N$4+I35*$N$5</f>
        <v>453342.6</v>
      </c>
      <c r="L35" s="78"/>
      <c r="M35" s="47"/>
      <c r="N35" s="47"/>
    </row>
    <row r="36" spans="1:15" ht="15.75" x14ac:dyDescent="0.2">
      <c r="B36" s="53" t="s">
        <v>107</v>
      </c>
      <c r="C36" s="91">
        <v>1.5</v>
      </c>
      <c r="D36" s="91">
        <v>52</v>
      </c>
      <c r="E36" s="92">
        <f t="shared" ref="E36" si="32">C36*D36</f>
        <v>78</v>
      </c>
      <c r="F36" s="93">
        <f>ROUND(N9*0.1,0)</f>
        <v>41</v>
      </c>
      <c r="G36" s="92">
        <f t="shared" si="24"/>
        <v>3198</v>
      </c>
      <c r="H36" s="94">
        <f>G36*0.05</f>
        <v>159.9</v>
      </c>
      <c r="I36" s="94">
        <f>G36*0.1</f>
        <v>319.8</v>
      </c>
      <c r="J36" s="95">
        <f>G36*$N$3+H36*$N$4+I36*$N$5</f>
        <v>402719.34300000005</v>
      </c>
      <c r="K36" s="8"/>
      <c r="L36" s="7"/>
    </row>
    <row r="37" spans="1:15" ht="15.75" x14ac:dyDescent="0.2">
      <c r="B37" s="53" t="s">
        <v>108</v>
      </c>
      <c r="C37" s="91">
        <v>2</v>
      </c>
      <c r="D37" s="91">
        <v>12</v>
      </c>
      <c r="E37" s="92">
        <f>C37*D37</f>
        <v>24</v>
      </c>
      <c r="F37" s="93">
        <v>91</v>
      </c>
      <c r="G37" s="92">
        <f t="shared" si="24"/>
        <v>2184</v>
      </c>
      <c r="H37" s="94">
        <f>G37*0.05</f>
        <v>109.2</v>
      </c>
      <c r="I37" s="94">
        <f>G37*0.1</f>
        <v>218.4</v>
      </c>
      <c r="J37" s="95">
        <f>G37*$N$3+H37*$N$4+I37*$N$5</f>
        <v>275027.84400000004</v>
      </c>
      <c r="K37" s="8"/>
      <c r="L37" s="7"/>
    </row>
    <row r="38" spans="1:15" ht="15.75" x14ac:dyDescent="0.2">
      <c r="B38" s="53" t="s">
        <v>109</v>
      </c>
      <c r="C38" s="91">
        <v>1</v>
      </c>
      <c r="D38" s="91">
        <v>1</v>
      </c>
      <c r="E38" s="92">
        <f t="shared" ref="E38" si="33">C38*D38</f>
        <v>1</v>
      </c>
      <c r="F38" s="93">
        <f>F8</f>
        <v>856</v>
      </c>
      <c r="G38" s="92">
        <f t="shared" ref="G38:G44" si="34">E38*F38</f>
        <v>856</v>
      </c>
      <c r="H38" s="94">
        <f t="shared" ref="H38:H44" si="35">G38*0.05</f>
        <v>42.800000000000004</v>
      </c>
      <c r="I38" s="94">
        <f t="shared" ref="I38:I44" si="36">G38*0.1</f>
        <v>85.600000000000009</v>
      </c>
      <c r="J38" s="95">
        <f t="shared" ref="J38:J44" si="37">G38*$N$3+H38*$N$4+I38*$N$5</f>
        <v>107794.796</v>
      </c>
      <c r="L38" s="46" t="s">
        <v>87</v>
      </c>
    </row>
    <row r="39" spans="1:15" ht="41.25" x14ac:dyDescent="0.2">
      <c r="B39" s="53" t="s">
        <v>113</v>
      </c>
      <c r="C39" s="91">
        <v>2</v>
      </c>
      <c r="D39" s="91">
        <v>12</v>
      </c>
      <c r="E39" s="92">
        <f t="shared" ref="E39:E41" si="38">C39*D39</f>
        <v>24</v>
      </c>
      <c r="F39" s="93">
        <f>F8</f>
        <v>856</v>
      </c>
      <c r="G39" s="92">
        <f t="shared" ref="G39" si="39">E39*F39</f>
        <v>20544</v>
      </c>
      <c r="H39" s="103">
        <f t="shared" si="35"/>
        <v>1027.2</v>
      </c>
      <c r="I39" s="103">
        <f t="shared" ref="I39" si="40">G39*0.1</f>
        <v>2054.4</v>
      </c>
      <c r="J39" s="95">
        <f t="shared" ref="J39" si="41">G39*$N$3+H39*$N$4+I39*$N$5</f>
        <v>2587075.1039999998</v>
      </c>
      <c r="L39" s="46" t="s">
        <v>112</v>
      </c>
    </row>
    <row r="40" spans="1:15" ht="28.5" x14ac:dyDescent="0.2">
      <c r="B40" s="53" t="s">
        <v>115</v>
      </c>
      <c r="C40" s="91">
        <v>1</v>
      </c>
      <c r="D40" s="91">
        <v>2</v>
      </c>
      <c r="E40" s="92">
        <f t="shared" si="38"/>
        <v>2</v>
      </c>
      <c r="F40" s="93">
        <f>F20+F21</f>
        <v>404</v>
      </c>
      <c r="G40" s="94">
        <f>E40*F40</f>
        <v>808</v>
      </c>
      <c r="H40" s="94">
        <f t="shared" si="35"/>
        <v>40.400000000000006</v>
      </c>
      <c r="I40" s="94">
        <f t="shared" ref="I40" si="42">G40*0.1</f>
        <v>80.800000000000011</v>
      </c>
      <c r="J40" s="95">
        <f t="shared" ref="J40" si="43">G40*$N$3+H40*$N$4+I40*$N$5</f>
        <v>101750.228</v>
      </c>
      <c r="L40" s="46"/>
    </row>
    <row r="41" spans="1:15" ht="28.5" x14ac:dyDescent="0.2">
      <c r="B41" s="53" t="s">
        <v>114</v>
      </c>
      <c r="C41" s="91">
        <v>1</v>
      </c>
      <c r="D41" s="91">
        <v>4</v>
      </c>
      <c r="E41" s="92">
        <f t="shared" si="38"/>
        <v>4</v>
      </c>
      <c r="F41" s="93">
        <f>F22</f>
        <v>2</v>
      </c>
      <c r="G41" s="94">
        <f>E41*F41</f>
        <v>8</v>
      </c>
      <c r="H41" s="94">
        <f t="shared" si="35"/>
        <v>0.4</v>
      </c>
      <c r="I41" s="94">
        <f t="shared" ref="I41" si="44">G41*0.1</f>
        <v>0.8</v>
      </c>
      <c r="J41" s="95">
        <f t="shared" ref="J41" si="45">G41*$N$3+H41*$N$4+I41*$N$5</f>
        <v>1007.428</v>
      </c>
      <c r="L41" s="46"/>
    </row>
    <row r="42" spans="1:15" ht="15.75" x14ac:dyDescent="0.2">
      <c r="B42" s="53" t="s">
        <v>116</v>
      </c>
      <c r="C42" s="91">
        <v>2</v>
      </c>
      <c r="D42" s="91">
        <v>12</v>
      </c>
      <c r="E42" s="92">
        <f>C42*D42</f>
        <v>24</v>
      </c>
      <c r="F42" s="93">
        <f>ROUND(41*0.1,0)</f>
        <v>4</v>
      </c>
      <c r="G42" s="94">
        <f t="shared" si="34"/>
        <v>96</v>
      </c>
      <c r="H42" s="94">
        <f t="shared" si="35"/>
        <v>4.8000000000000007</v>
      </c>
      <c r="I42" s="94">
        <f t="shared" si="36"/>
        <v>9.6000000000000014</v>
      </c>
      <c r="J42" s="95">
        <f t="shared" si="37"/>
        <v>12089.135999999999</v>
      </c>
      <c r="K42" s="8"/>
      <c r="L42" s="78"/>
      <c r="M42" s="47"/>
      <c r="N42" s="46"/>
    </row>
    <row r="43" spans="1:15" ht="15.75" x14ac:dyDescent="0.2">
      <c r="A43" s="8"/>
      <c r="B43" s="50" t="s">
        <v>119</v>
      </c>
      <c r="C43" s="91">
        <v>1</v>
      </c>
      <c r="D43" s="91">
        <v>12</v>
      </c>
      <c r="E43" s="92">
        <f t="shared" ref="E43:E44" si="46">C43*D43</f>
        <v>12</v>
      </c>
      <c r="F43" s="93">
        <f>N10</f>
        <v>450</v>
      </c>
      <c r="G43" s="92">
        <f t="shared" si="34"/>
        <v>5400</v>
      </c>
      <c r="H43" s="92">
        <f t="shared" si="35"/>
        <v>270</v>
      </c>
      <c r="I43" s="92">
        <f t="shared" si="36"/>
        <v>540</v>
      </c>
      <c r="J43" s="95">
        <f t="shared" si="37"/>
        <v>680013.9</v>
      </c>
      <c r="K43" s="8"/>
      <c r="L43" s="78"/>
      <c r="M43" s="8"/>
    </row>
    <row r="44" spans="1:15" s="8" customFormat="1" ht="15.75" x14ac:dyDescent="0.2">
      <c r="B44" s="50" t="s">
        <v>122</v>
      </c>
      <c r="C44" s="91">
        <v>8</v>
      </c>
      <c r="D44" s="91">
        <v>1</v>
      </c>
      <c r="E44" s="92">
        <f t="shared" si="46"/>
        <v>8</v>
      </c>
      <c r="F44" s="93">
        <f>N9</f>
        <v>406</v>
      </c>
      <c r="G44" s="92">
        <f t="shared" si="34"/>
        <v>3248</v>
      </c>
      <c r="H44" s="94">
        <f t="shared" si="35"/>
        <v>162.4</v>
      </c>
      <c r="I44" s="94">
        <f t="shared" si="36"/>
        <v>324.8</v>
      </c>
      <c r="J44" s="95">
        <f t="shared" si="37"/>
        <v>409015.76800000004</v>
      </c>
      <c r="L44" s="33" t="s">
        <v>98</v>
      </c>
    </row>
    <row r="45" spans="1:15" s="8" customFormat="1" x14ac:dyDescent="0.2">
      <c r="B45" s="50" t="s">
        <v>56</v>
      </c>
      <c r="C45" s="51" t="s">
        <v>47</v>
      </c>
      <c r="D45" s="51"/>
      <c r="E45" s="51"/>
      <c r="F45" s="69"/>
      <c r="G45" s="69"/>
      <c r="H45" s="69"/>
      <c r="I45" s="69"/>
      <c r="J45" s="68"/>
      <c r="L45" s="78"/>
    </row>
    <row r="46" spans="1:15" s="8" customFormat="1" ht="13.5" x14ac:dyDescent="0.2">
      <c r="A46" s="7"/>
      <c r="B46" s="61" t="s">
        <v>53</v>
      </c>
      <c r="C46" s="41"/>
      <c r="D46" s="41"/>
      <c r="E46" s="41"/>
      <c r="F46" s="70"/>
      <c r="G46" s="115">
        <f>SUM(G24:I45)</f>
        <v>65182.000000000015</v>
      </c>
      <c r="H46" s="115"/>
      <c r="I46" s="115"/>
      <c r="J46" s="42">
        <f>SUM(J24:J45)</f>
        <v>7137627.3800000008</v>
      </c>
      <c r="L46" s="78"/>
    </row>
    <row r="47" spans="1:15" ht="15.75" x14ac:dyDescent="0.2">
      <c r="A47" s="8"/>
      <c r="B47" s="43" t="s">
        <v>124</v>
      </c>
      <c r="C47" s="41"/>
      <c r="D47" s="41"/>
      <c r="E47" s="43"/>
      <c r="F47" s="70"/>
      <c r="G47" s="115">
        <f>ROUND(G23+G46,-2)</f>
        <v>70800</v>
      </c>
      <c r="H47" s="115"/>
      <c r="I47" s="115"/>
      <c r="J47" s="42">
        <f>ROUND(J23+J46,-4)</f>
        <v>7760000</v>
      </c>
      <c r="M47" s="30"/>
      <c r="N47" s="30"/>
      <c r="O47" s="8"/>
    </row>
    <row r="48" spans="1:15" s="8" customFormat="1" ht="15.75" x14ac:dyDescent="0.2">
      <c r="A48" s="7"/>
      <c r="B48" s="85" t="s">
        <v>125</v>
      </c>
      <c r="C48" s="74"/>
      <c r="D48" s="74"/>
      <c r="E48" s="74"/>
      <c r="F48" s="74"/>
      <c r="G48" s="115"/>
      <c r="H48" s="115"/>
      <c r="I48" s="115"/>
      <c r="J48" s="104">
        <v>24600</v>
      </c>
      <c r="L48" s="78"/>
      <c r="M48" s="30"/>
      <c r="N48" s="30"/>
    </row>
    <row r="49" spans="1:15" ht="15.75" x14ac:dyDescent="0.2">
      <c r="B49" s="85" t="s">
        <v>126</v>
      </c>
      <c r="C49" s="74"/>
      <c r="D49" s="74"/>
      <c r="E49" s="74"/>
      <c r="F49" s="74"/>
      <c r="G49" s="74"/>
      <c r="H49" s="74"/>
      <c r="I49" s="74"/>
      <c r="J49" s="104">
        <f>ROUND(J48+J47,-4)</f>
        <v>7780000</v>
      </c>
      <c r="M49" s="30"/>
      <c r="N49" s="30"/>
      <c r="O49" s="8"/>
    </row>
    <row r="50" spans="1:15" x14ac:dyDescent="0.2">
      <c r="B50" s="73"/>
      <c r="C50" s="8"/>
      <c r="D50" s="8"/>
      <c r="E50" s="8"/>
      <c r="F50" s="8"/>
      <c r="G50" s="8"/>
      <c r="H50" s="8"/>
      <c r="I50" s="8"/>
      <c r="J50" s="11" t="str">
        <f>ROUND(G47/'# Responses'!F17, 1) &amp;" hrs/response"</f>
        <v>47.7 hrs/response</v>
      </c>
      <c r="K50" s="30"/>
      <c r="L50" s="84"/>
      <c r="M50" s="8"/>
    </row>
    <row r="51" spans="1:15" ht="36" customHeight="1" x14ac:dyDescent="0.2">
      <c r="B51" s="113" t="s">
        <v>139</v>
      </c>
      <c r="C51" s="113"/>
      <c r="D51" s="113"/>
      <c r="E51" s="113"/>
      <c r="F51" s="113"/>
      <c r="G51" s="113"/>
      <c r="H51" s="113"/>
      <c r="I51" s="113"/>
      <c r="J51" s="113"/>
      <c r="K51" s="8"/>
      <c r="L51" s="33" t="s">
        <v>140</v>
      </c>
    </row>
    <row r="52" spans="1:15" ht="36" customHeight="1" x14ac:dyDescent="0.2">
      <c r="B52" s="114" t="s">
        <v>130</v>
      </c>
      <c r="C52" s="114"/>
      <c r="D52" s="114"/>
      <c r="E52" s="114"/>
      <c r="F52" s="114"/>
      <c r="G52" s="114"/>
      <c r="H52" s="114"/>
      <c r="I52" s="114"/>
      <c r="J52" s="114"/>
      <c r="L52" s="4" t="s">
        <v>94</v>
      </c>
    </row>
    <row r="53" spans="1:15" ht="29.25" customHeight="1" x14ac:dyDescent="0.2">
      <c r="B53" s="114" t="s">
        <v>153</v>
      </c>
      <c r="C53" s="114"/>
      <c r="D53" s="114"/>
      <c r="E53" s="114"/>
      <c r="F53" s="114"/>
      <c r="G53" s="114"/>
      <c r="H53" s="114"/>
      <c r="I53" s="114"/>
      <c r="J53" s="114"/>
      <c r="L53" s="4" t="s">
        <v>131</v>
      </c>
    </row>
    <row r="54" spans="1:15" ht="29.25" customHeight="1" x14ac:dyDescent="0.2">
      <c r="B54" s="114" t="s">
        <v>90</v>
      </c>
      <c r="C54" s="114"/>
      <c r="D54" s="114"/>
      <c r="E54" s="114"/>
      <c r="F54" s="114"/>
      <c r="G54" s="114"/>
      <c r="H54" s="114"/>
      <c r="I54" s="114"/>
      <c r="J54" s="114"/>
      <c r="L54" s="4" t="s">
        <v>152</v>
      </c>
    </row>
    <row r="55" spans="1:15" x14ac:dyDescent="0.2">
      <c r="B55" s="113" t="s">
        <v>81</v>
      </c>
      <c r="C55" s="113"/>
      <c r="D55" s="113"/>
      <c r="E55" s="113"/>
      <c r="F55" s="113"/>
      <c r="G55" s="113"/>
      <c r="H55" s="113"/>
      <c r="I55" s="113"/>
      <c r="J55" s="113"/>
    </row>
    <row r="56" spans="1:15" ht="26.25" customHeight="1" x14ac:dyDescent="0.2">
      <c r="A56" s="8"/>
      <c r="B56" s="113" t="s">
        <v>82</v>
      </c>
      <c r="C56" s="113"/>
      <c r="D56" s="113"/>
      <c r="E56" s="113"/>
      <c r="F56" s="113"/>
      <c r="G56" s="113"/>
      <c r="H56" s="113"/>
      <c r="I56" s="113"/>
      <c r="J56" s="113"/>
      <c r="K56" s="8"/>
      <c r="L56" s="78"/>
    </row>
    <row r="57" spans="1:15" x14ac:dyDescent="0.2">
      <c r="A57" s="8"/>
      <c r="B57" s="113" t="s">
        <v>84</v>
      </c>
      <c r="C57" s="113"/>
      <c r="D57" s="113"/>
      <c r="E57" s="113"/>
      <c r="F57" s="113"/>
      <c r="G57" s="113"/>
      <c r="H57" s="113"/>
      <c r="I57" s="113"/>
      <c r="J57" s="113"/>
      <c r="K57" s="8"/>
      <c r="L57" s="78"/>
    </row>
    <row r="58" spans="1:15" ht="29.25" customHeight="1" x14ac:dyDescent="0.2">
      <c r="A58" s="8"/>
      <c r="B58" s="113" t="s">
        <v>100</v>
      </c>
      <c r="C58" s="113"/>
      <c r="D58" s="113"/>
      <c r="E58" s="113"/>
      <c r="F58" s="113"/>
      <c r="G58" s="113"/>
      <c r="H58" s="113"/>
      <c r="I58" s="113"/>
      <c r="J58" s="113"/>
      <c r="K58" s="8"/>
      <c r="L58" s="78"/>
    </row>
    <row r="59" spans="1:15" ht="19.5" customHeight="1" x14ac:dyDescent="0.2">
      <c r="A59" s="8"/>
      <c r="B59" s="113" t="s">
        <v>103</v>
      </c>
      <c r="C59" s="113"/>
      <c r="D59" s="113"/>
      <c r="E59" s="113"/>
      <c r="F59" s="113"/>
      <c r="G59" s="113"/>
      <c r="H59" s="113"/>
      <c r="I59" s="113"/>
      <c r="J59" s="113"/>
      <c r="K59" s="8"/>
      <c r="L59" s="78"/>
    </row>
    <row r="60" spans="1:15" x14ac:dyDescent="0.2">
      <c r="B60" s="113" t="s">
        <v>104</v>
      </c>
      <c r="C60" s="113"/>
      <c r="D60" s="113"/>
      <c r="E60" s="113"/>
      <c r="F60" s="113"/>
      <c r="G60" s="113"/>
      <c r="H60" s="113"/>
      <c r="I60" s="113"/>
      <c r="J60" s="113"/>
      <c r="K60" s="8"/>
      <c r="L60" s="76" t="s">
        <v>93</v>
      </c>
    </row>
    <row r="61" spans="1:15" ht="26.25" customHeight="1" x14ac:dyDescent="0.2">
      <c r="B61" s="113" t="s">
        <v>136</v>
      </c>
      <c r="C61" s="113"/>
      <c r="D61" s="113"/>
      <c r="E61" s="113"/>
      <c r="F61" s="113"/>
      <c r="G61" s="113"/>
      <c r="H61" s="113"/>
      <c r="I61" s="113"/>
      <c r="J61" s="113"/>
    </row>
    <row r="62" spans="1:15" x14ac:dyDescent="0.2">
      <c r="B62" s="113" t="s">
        <v>110</v>
      </c>
      <c r="C62" s="113"/>
      <c r="D62" s="113"/>
      <c r="E62" s="113"/>
      <c r="F62" s="113"/>
      <c r="G62" s="113"/>
      <c r="H62" s="113"/>
      <c r="I62" s="113"/>
      <c r="J62" s="113"/>
    </row>
    <row r="63" spans="1:15" ht="36.75" customHeight="1" x14ac:dyDescent="0.2">
      <c r="B63" s="113" t="s">
        <v>111</v>
      </c>
      <c r="C63" s="113"/>
      <c r="D63" s="113"/>
      <c r="E63" s="113"/>
      <c r="F63" s="113"/>
      <c r="G63" s="113"/>
      <c r="H63" s="113"/>
      <c r="I63" s="113"/>
      <c r="J63" s="113"/>
      <c r="L63" s="76" t="s">
        <v>93</v>
      </c>
    </row>
    <row r="64" spans="1:15" x14ac:dyDescent="0.2">
      <c r="B64" s="113" t="s">
        <v>123</v>
      </c>
      <c r="C64" s="113"/>
      <c r="D64" s="113"/>
      <c r="E64" s="113"/>
      <c r="F64" s="113"/>
      <c r="G64" s="113"/>
      <c r="H64" s="113"/>
      <c r="I64" s="113"/>
      <c r="J64" s="113"/>
      <c r="L64" s="4" t="s">
        <v>97</v>
      </c>
    </row>
    <row r="65" spans="2:12" x14ac:dyDescent="0.2">
      <c r="B65" s="113" t="s">
        <v>117</v>
      </c>
      <c r="C65" s="113"/>
      <c r="D65" s="113"/>
      <c r="E65" s="113"/>
      <c r="F65" s="113"/>
      <c r="G65" s="113"/>
      <c r="H65" s="113"/>
      <c r="I65" s="113"/>
      <c r="J65" s="113"/>
      <c r="L65" s="4" t="s">
        <v>97</v>
      </c>
    </row>
    <row r="66" spans="2:12" ht="14.25" customHeight="1" x14ac:dyDescent="0.2">
      <c r="B66" s="113" t="s">
        <v>118</v>
      </c>
      <c r="C66" s="113"/>
      <c r="D66" s="113"/>
      <c r="E66" s="113"/>
      <c r="F66" s="113"/>
      <c r="G66" s="113"/>
      <c r="H66" s="113"/>
      <c r="I66" s="113"/>
      <c r="J66" s="113"/>
      <c r="L66" s="76" t="s">
        <v>93</v>
      </c>
    </row>
    <row r="67" spans="2:12" ht="13.5" customHeight="1" x14ac:dyDescent="0.2">
      <c r="B67" s="113" t="s">
        <v>120</v>
      </c>
      <c r="C67" s="113"/>
      <c r="D67" s="113"/>
      <c r="E67" s="113"/>
      <c r="F67" s="113"/>
      <c r="G67" s="113"/>
      <c r="H67" s="113"/>
      <c r="I67" s="113"/>
      <c r="J67" s="113"/>
      <c r="L67" s="4" t="s">
        <v>99</v>
      </c>
    </row>
    <row r="68" spans="2:12" x14ac:dyDescent="0.2">
      <c r="B68" s="86" t="s">
        <v>121</v>
      </c>
    </row>
  </sheetData>
  <mergeCells count="22">
    <mergeCell ref="B57:J57"/>
    <mergeCell ref="B67:J67"/>
    <mergeCell ref="B58:J58"/>
    <mergeCell ref="B59:J59"/>
    <mergeCell ref="B63:J63"/>
    <mergeCell ref="B65:J65"/>
    <mergeCell ref="B66:J66"/>
    <mergeCell ref="B64:J64"/>
    <mergeCell ref="B62:J62"/>
    <mergeCell ref="B60:J60"/>
    <mergeCell ref="B61:J61"/>
    <mergeCell ref="B3:B4"/>
    <mergeCell ref="G23:I23"/>
    <mergeCell ref="B56:J56"/>
    <mergeCell ref="B52:J52"/>
    <mergeCell ref="G46:I46"/>
    <mergeCell ref="G48:I48"/>
    <mergeCell ref="B54:J54"/>
    <mergeCell ref="B55:J55"/>
    <mergeCell ref="G47:I47"/>
    <mergeCell ref="B51:J51"/>
    <mergeCell ref="B53:J53"/>
  </mergeCells>
  <pageMargins left="0.7" right="0.7"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zoomScaleNormal="100" workbookViewId="0">
      <selection activeCell="O15" sqref="O15"/>
    </sheetView>
  </sheetViews>
  <sheetFormatPr defaultColWidth="9.140625" defaultRowHeight="12.75" x14ac:dyDescent="0.2"/>
  <cols>
    <col min="1" max="1" width="0.85546875" style="8" customWidth="1"/>
    <col min="2" max="2" width="49.28515625" style="8" bestFit="1" customWidth="1"/>
    <col min="3" max="3" width="15.140625" style="8" bestFit="1" customWidth="1"/>
    <col min="4" max="4" width="19.140625" style="8" bestFit="1" customWidth="1"/>
    <col min="5" max="5" width="21.42578125" style="8" bestFit="1" customWidth="1"/>
    <col min="6" max="6" width="13" style="8" bestFit="1" customWidth="1"/>
    <col min="7" max="7" width="11.7109375" style="8" bestFit="1" customWidth="1"/>
    <col min="8" max="8" width="15.140625" style="8" bestFit="1" customWidth="1"/>
    <col min="9" max="9" width="14.42578125" style="8" customWidth="1"/>
    <col min="10" max="10" width="13.85546875" style="8" customWidth="1"/>
    <col min="11" max="11" width="2" style="8" customWidth="1"/>
    <col min="12" max="12" width="7.28515625" style="8" customWidth="1"/>
    <col min="13" max="13" width="7.7109375" style="8" customWidth="1"/>
    <col min="14" max="14" width="2.140625" style="8" customWidth="1"/>
    <col min="15" max="15" width="12" style="8" bestFit="1" customWidth="1"/>
    <col min="16" max="16384" width="9.140625" style="8"/>
  </cols>
  <sheetData>
    <row r="1" spans="2:15" ht="15.75" x14ac:dyDescent="0.25">
      <c r="B1" s="20" t="s">
        <v>134</v>
      </c>
      <c r="C1" s="20"/>
    </row>
    <row r="3" spans="2:15" s="1" customFormat="1" ht="12.75" customHeight="1" x14ac:dyDescent="0.2">
      <c r="B3" s="116" t="s">
        <v>0</v>
      </c>
      <c r="C3" s="13" t="s">
        <v>1</v>
      </c>
      <c r="D3" s="13" t="s">
        <v>2</v>
      </c>
      <c r="E3" s="13" t="s">
        <v>3</v>
      </c>
      <c r="F3" s="13" t="s">
        <v>4</v>
      </c>
      <c r="G3" s="13" t="s">
        <v>5</v>
      </c>
      <c r="H3" s="13" t="s">
        <v>6</v>
      </c>
      <c r="I3" s="13" t="s">
        <v>7</v>
      </c>
      <c r="J3" s="13" t="s">
        <v>8</v>
      </c>
      <c r="K3" s="21"/>
      <c r="L3" s="14" t="s">
        <v>9</v>
      </c>
      <c r="M3" s="75">
        <v>48.08</v>
      </c>
    </row>
    <row r="4" spans="2:15" s="5" customFormat="1" ht="38.25" x14ac:dyDescent="0.2">
      <c r="B4" s="116"/>
      <c r="C4" s="23" t="s">
        <v>10</v>
      </c>
      <c r="D4" s="23" t="s">
        <v>11</v>
      </c>
      <c r="E4" s="23" t="s">
        <v>12</v>
      </c>
      <c r="F4" s="34" t="s">
        <v>27</v>
      </c>
      <c r="G4" s="23" t="s">
        <v>13</v>
      </c>
      <c r="H4" s="23" t="s">
        <v>28</v>
      </c>
      <c r="I4" s="23" t="s">
        <v>29</v>
      </c>
      <c r="J4" s="34" t="s">
        <v>21</v>
      </c>
      <c r="K4" s="15"/>
      <c r="L4" s="14" t="s">
        <v>14</v>
      </c>
      <c r="M4" s="75">
        <v>64.8</v>
      </c>
    </row>
    <row r="5" spans="2:15" x14ac:dyDescent="0.2">
      <c r="B5" s="55" t="s">
        <v>58</v>
      </c>
      <c r="C5" s="51" t="s">
        <v>47</v>
      </c>
      <c r="D5" s="51"/>
      <c r="E5" s="51"/>
      <c r="F5" s="56"/>
      <c r="G5" s="56"/>
      <c r="H5" s="56"/>
      <c r="I5" s="56"/>
      <c r="J5" s="56"/>
      <c r="L5" s="14" t="s">
        <v>15</v>
      </c>
      <c r="M5" s="75">
        <v>26.02</v>
      </c>
    </row>
    <row r="6" spans="2:15" x14ac:dyDescent="0.2">
      <c r="B6" s="55" t="s">
        <v>63</v>
      </c>
      <c r="C6" s="51"/>
      <c r="D6" s="51"/>
      <c r="E6" s="51"/>
      <c r="F6" s="56"/>
      <c r="G6" s="56"/>
      <c r="H6" s="56"/>
      <c r="I6" s="56"/>
      <c r="J6" s="56"/>
      <c r="L6" s="14"/>
      <c r="M6" s="31"/>
    </row>
    <row r="7" spans="2:15" ht="15.75" x14ac:dyDescent="0.2">
      <c r="B7" s="50" t="s">
        <v>69</v>
      </c>
      <c r="C7" s="51">
        <v>2</v>
      </c>
      <c r="D7" s="51">
        <v>1</v>
      </c>
      <c r="E7" s="51">
        <f>C7*D7</f>
        <v>2</v>
      </c>
      <c r="F7" s="52">
        <f>'Respondent Burden'!F13</f>
        <v>12</v>
      </c>
      <c r="G7" s="52">
        <f>E7*F7</f>
        <v>24</v>
      </c>
      <c r="H7" s="58">
        <f>G7*0.05</f>
        <v>1.2000000000000002</v>
      </c>
      <c r="I7" s="58">
        <f>G7*0.1</f>
        <v>2.4000000000000004</v>
      </c>
      <c r="J7" s="54">
        <f>G7*$M$3+H7*$M$4+I7*$M$5</f>
        <v>1294.1280000000002</v>
      </c>
      <c r="M7" s="35"/>
    </row>
    <row r="8" spans="2:15" ht="28.5" x14ac:dyDescent="0.2">
      <c r="B8" s="50" t="s">
        <v>70</v>
      </c>
      <c r="C8" s="51">
        <v>2</v>
      </c>
      <c r="D8" s="51">
        <v>1</v>
      </c>
      <c r="E8" s="51">
        <f t="shared" ref="E8:E12" si="0">C8*D8</f>
        <v>2</v>
      </c>
      <c r="F8" s="52">
        <f>'Respondent Burden'!F14</f>
        <v>41</v>
      </c>
      <c r="G8" s="52">
        <f>E8*F8</f>
        <v>82</v>
      </c>
      <c r="H8" s="58">
        <f>G8*0.05</f>
        <v>4.1000000000000005</v>
      </c>
      <c r="I8" s="58">
        <f>G8*0.1</f>
        <v>8.2000000000000011</v>
      </c>
      <c r="J8" s="54">
        <f>G8*$M$3+H8*$M$4+I8*$M$5</f>
        <v>4421.6039999999994</v>
      </c>
      <c r="L8" s="32"/>
      <c r="M8" s="36"/>
    </row>
    <row r="9" spans="2:15" ht="15.75" x14ac:dyDescent="0.2">
      <c r="B9" s="50" t="s">
        <v>137</v>
      </c>
      <c r="C9" s="51">
        <v>8</v>
      </c>
      <c r="D9" s="51">
        <v>1</v>
      </c>
      <c r="E9" s="51">
        <f t="shared" si="0"/>
        <v>8</v>
      </c>
      <c r="F9" s="52">
        <f>'Respondent Burden'!F17</f>
        <v>5</v>
      </c>
      <c r="G9" s="52">
        <f>E9*F9</f>
        <v>40</v>
      </c>
      <c r="H9" s="52">
        <f>G9*0.05</f>
        <v>2</v>
      </c>
      <c r="I9" s="52">
        <f>G9*0.1</f>
        <v>4</v>
      </c>
      <c r="J9" s="54">
        <f>G9*$M$3+H9*$M$4+I9*$M$5</f>
        <v>2156.8799999999997</v>
      </c>
      <c r="L9" s="32" t="s">
        <v>148</v>
      </c>
      <c r="M9" s="36"/>
    </row>
    <row r="10" spans="2:15" ht="15.75" x14ac:dyDescent="0.2">
      <c r="B10" s="50" t="s">
        <v>138</v>
      </c>
      <c r="C10" s="51">
        <v>2</v>
      </c>
      <c r="D10" s="51">
        <v>1</v>
      </c>
      <c r="E10" s="51">
        <f t="shared" si="0"/>
        <v>2</v>
      </c>
      <c r="F10" s="52">
        <f>'Respondent Burden'!F19</f>
        <v>0</v>
      </c>
      <c r="G10" s="52">
        <f>E10*F10</f>
        <v>0</v>
      </c>
      <c r="H10" s="52">
        <f>G10*0.05</f>
        <v>0</v>
      </c>
      <c r="I10" s="52">
        <f>G10*0.1</f>
        <v>0</v>
      </c>
      <c r="J10" s="54">
        <f>G10*$M$3+H10*$M$4+I10*$M$5</f>
        <v>0</v>
      </c>
      <c r="L10" s="32" t="s">
        <v>148</v>
      </c>
      <c r="M10" s="36"/>
    </row>
    <row r="11" spans="2:15" ht="28.5" x14ac:dyDescent="0.2">
      <c r="B11" s="50" t="s">
        <v>141</v>
      </c>
      <c r="C11" s="51">
        <v>8</v>
      </c>
      <c r="D11" s="51">
        <v>2</v>
      </c>
      <c r="E11" s="52">
        <f t="shared" si="0"/>
        <v>16</v>
      </c>
      <c r="F11" s="52">
        <f>'Respondent Burden'!F20</f>
        <v>365</v>
      </c>
      <c r="G11" s="52">
        <f t="shared" ref="G11:G14" si="1">E11*F11</f>
        <v>5840</v>
      </c>
      <c r="H11" s="52">
        <f t="shared" ref="H11:H14" si="2">G11*0.05</f>
        <v>292</v>
      </c>
      <c r="I11" s="52">
        <f t="shared" ref="I11:I14" si="3">G11*0.1</f>
        <v>584</v>
      </c>
      <c r="J11" s="60">
        <f t="shared" ref="J11:J13" si="4">G11*$M$3+H11*$M$4+I11*$M$5</f>
        <v>314904.48</v>
      </c>
      <c r="M11" s="36"/>
      <c r="O11" s="12"/>
    </row>
    <row r="12" spans="2:15" ht="28.5" x14ac:dyDescent="0.2">
      <c r="B12" s="50" t="s">
        <v>142</v>
      </c>
      <c r="C12" s="51">
        <v>8</v>
      </c>
      <c r="D12" s="51">
        <v>2</v>
      </c>
      <c r="E12" s="51">
        <f t="shared" si="0"/>
        <v>16</v>
      </c>
      <c r="F12" s="52">
        <f>'Respondent Burden'!F21</f>
        <v>39</v>
      </c>
      <c r="G12" s="52">
        <f t="shared" si="1"/>
        <v>624</v>
      </c>
      <c r="H12" s="58">
        <f t="shared" si="2"/>
        <v>31.200000000000003</v>
      </c>
      <c r="I12" s="58">
        <f t="shared" si="3"/>
        <v>62.400000000000006</v>
      </c>
      <c r="J12" s="54">
        <f t="shared" si="4"/>
        <v>33647.327999999994</v>
      </c>
      <c r="M12" s="36"/>
    </row>
    <row r="13" spans="2:15" ht="15.75" x14ac:dyDescent="0.2">
      <c r="B13" s="50" t="s">
        <v>143</v>
      </c>
      <c r="C13" s="51">
        <v>16</v>
      </c>
      <c r="D13" s="51">
        <v>4</v>
      </c>
      <c r="E13" s="51">
        <f>C13*D13</f>
        <v>64</v>
      </c>
      <c r="F13" s="52">
        <f>'Respondent Burden'!F22</f>
        <v>2</v>
      </c>
      <c r="G13" s="52">
        <f t="shared" si="1"/>
        <v>128</v>
      </c>
      <c r="H13" s="58">
        <f t="shared" si="2"/>
        <v>6.4</v>
      </c>
      <c r="I13" s="58">
        <f t="shared" si="3"/>
        <v>12.8</v>
      </c>
      <c r="J13" s="54">
        <f t="shared" si="4"/>
        <v>6902.0159999999996</v>
      </c>
    </row>
    <row r="14" spans="2:15" ht="15.75" x14ac:dyDescent="0.2">
      <c r="B14" s="50" t="s">
        <v>145</v>
      </c>
      <c r="C14" s="51">
        <v>2</v>
      </c>
      <c r="D14" s="51">
        <v>1</v>
      </c>
      <c r="E14" s="51">
        <f>C14*D14</f>
        <v>2</v>
      </c>
      <c r="F14" s="52">
        <f>'Respondent Burden'!N11</f>
        <v>150</v>
      </c>
      <c r="G14" s="52">
        <f t="shared" si="1"/>
        <v>300</v>
      </c>
      <c r="H14" s="52">
        <f t="shared" si="2"/>
        <v>15</v>
      </c>
      <c r="I14" s="52">
        <f t="shared" si="3"/>
        <v>30</v>
      </c>
      <c r="J14" s="54">
        <f>G14*$M$3+H14*$M$4+I14*$M$5</f>
        <v>16176.6</v>
      </c>
      <c r="K14" s="67"/>
    </row>
    <row r="15" spans="2:15" ht="15.75" x14ac:dyDescent="0.2">
      <c r="B15" s="43" t="s">
        <v>146</v>
      </c>
      <c r="C15" s="41"/>
      <c r="D15" s="41"/>
      <c r="E15" s="41"/>
      <c r="F15" s="41"/>
      <c r="G15" s="115">
        <f>ROUND(SUM(G7:I14),-1)</f>
        <v>8090</v>
      </c>
      <c r="H15" s="115"/>
      <c r="I15" s="115"/>
      <c r="J15" s="42">
        <f>ROUND(SUM(J7:J14),-3)</f>
        <v>380000</v>
      </c>
      <c r="K15" s="30"/>
      <c r="O15" s="48"/>
    </row>
    <row r="16" spans="2:15" x14ac:dyDescent="0.2">
      <c r="K16" s="30"/>
      <c r="O16" s="30"/>
    </row>
    <row r="17" spans="1:15" s="7" customFormat="1" x14ac:dyDescent="0.2">
      <c r="A17" s="8"/>
      <c r="B17" s="37"/>
      <c r="C17" s="8"/>
      <c r="D17" s="8"/>
      <c r="E17" s="8"/>
      <c r="F17" s="8"/>
      <c r="G17" s="8"/>
      <c r="H17" s="8"/>
      <c r="I17" s="8"/>
      <c r="J17" s="8"/>
      <c r="K17" s="30"/>
      <c r="M17" s="8"/>
      <c r="O17" s="30"/>
    </row>
    <row r="18" spans="1:15" ht="12.75" customHeight="1" x14ac:dyDescent="0.2">
      <c r="B18" s="113" t="s">
        <v>80</v>
      </c>
      <c r="C18" s="113"/>
      <c r="D18" s="113"/>
      <c r="E18" s="113"/>
      <c r="F18" s="113"/>
      <c r="G18" s="113"/>
      <c r="H18" s="113"/>
      <c r="I18" s="113"/>
      <c r="J18" s="113"/>
      <c r="O18" s="30"/>
    </row>
    <row r="19" spans="1:15" ht="27" customHeight="1" x14ac:dyDescent="0.2">
      <c r="B19" s="117" t="s">
        <v>135</v>
      </c>
      <c r="C19" s="117"/>
      <c r="D19" s="117"/>
      <c r="E19" s="117"/>
      <c r="F19" s="117"/>
      <c r="G19" s="117"/>
      <c r="H19" s="117"/>
      <c r="I19" s="117"/>
      <c r="J19" s="117"/>
    </row>
    <row r="20" spans="1:15" s="7" customFormat="1" ht="26.25" customHeight="1" x14ac:dyDescent="0.2">
      <c r="B20" s="114" t="str">
        <f>'Respondent Burden'!B53:J53</f>
        <v>c  EPA assumes 3% of sources will apply for reconstruction (406 x 0.03 = 12, after rounding) and 10% will apply for modification (406 x 0.1 = 41, after rounding). Of these 53 sources, 10% of the sources (rounded to 5 sources) will comply using control devices and be required to submit notification of the performance test.</v>
      </c>
      <c r="C20" s="114"/>
      <c r="D20" s="114"/>
      <c r="E20" s="114"/>
      <c r="F20" s="114"/>
      <c r="G20" s="114"/>
      <c r="H20" s="114"/>
      <c r="I20" s="114"/>
      <c r="J20" s="114"/>
    </row>
    <row r="21" spans="1:15" s="7" customFormat="1" ht="16.5" customHeight="1" x14ac:dyDescent="0.2">
      <c r="B21" s="114" t="str">
        <f>'Respondent Burden'!B54:J54</f>
        <v xml:space="preserve">d EPA does not estimate any sources will need to report a notification of increased annual VHAP usage. </v>
      </c>
      <c r="C21" s="114"/>
      <c r="D21" s="114"/>
      <c r="E21" s="114"/>
      <c r="F21" s="114"/>
      <c r="G21" s="114"/>
      <c r="H21" s="114"/>
      <c r="I21" s="114"/>
      <c r="J21" s="114"/>
    </row>
    <row r="22" spans="1:15" s="7" customFormat="1" ht="12.75" customHeight="1" x14ac:dyDescent="0.2">
      <c r="B22" s="113" t="s">
        <v>81</v>
      </c>
      <c r="C22" s="113"/>
      <c r="D22" s="113"/>
      <c r="E22" s="113"/>
      <c r="F22" s="113"/>
      <c r="G22" s="113"/>
      <c r="H22" s="113"/>
      <c r="I22" s="113"/>
      <c r="J22" s="113"/>
    </row>
    <row r="23" spans="1:15" s="7" customFormat="1" ht="26.25" customHeight="1" x14ac:dyDescent="0.2">
      <c r="A23" s="8"/>
      <c r="B23" s="113" t="s">
        <v>83</v>
      </c>
      <c r="C23" s="113"/>
      <c r="D23" s="113"/>
      <c r="E23" s="113"/>
      <c r="F23" s="113"/>
      <c r="G23" s="113"/>
      <c r="H23" s="113"/>
      <c r="I23" s="113"/>
      <c r="J23" s="113"/>
      <c r="K23" s="8"/>
    </row>
    <row r="24" spans="1:15" s="7" customFormat="1" ht="12.75" customHeight="1" x14ac:dyDescent="0.2">
      <c r="A24" s="8"/>
      <c r="B24" s="113" t="s">
        <v>84</v>
      </c>
      <c r="C24" s="113"/>
      <c r="D24" s="113"/>
      <c r="E24" s="113"/>
      <c r="F24" s="113"/>
      <c r="G24" s="113"/>
      <c r="H24" s="113"/>
      <c r="I24" s="113"/>
      <c r="J24" s="113"/>
      <c r="K24" s="8"/>
    </row>
    <row r="25" spans="1:15" ht="26.25" customHeight="1" x14ac:dyDescent="0.2">
      <c r="B25" s="113" t="s">
        <v>144</v>
      </c>
      <c r="C25" s="113"/>
      <c r="D25" s="113"/>
      <c r="E25" s="113"/>
      <c r="F25" s="113"/>
      <c r="G25" s="113"/>
      <c r="H25" s="113"/>
      <c r="I25" s="113"/>
      <c r="J25" s="113"/>
    </row>
    <row r="26" spans="1:15" x14ac:dyDescent="0.2">
      <c r="B26" s="86" t="s">
        <v>147</v>
      </c>
    </row>
    <row r="30" spans="1:15" x14ac:dyDescent="0.2">
      <c r="I30" s="8">
        <f>406*0.095</f>
        <v>38.57</v>
      </c>
    </row>
  </sheetData>
  <mergeCells count="10">
    <mergeCell ref="G15:I15"/>
    <mergeCell ref="B3:B4"/>
    <mergeCell ref="B19:J19"/>
    <mergeCell ref="B25:J25"/>
    <mergeCell ref="B18:J18"/>
    <mergeCell ref="B20:J20"/>
    <mergeCell ref="B22:J22"/>
    <mergeCell ref="B23:J23"/>
    <mergeCell ref="B24:J24"/>
    <mergeCell ref="B21:J21"/>
  </mergeCells>
  <pageMargins left="0.7" right="0.7" top="0.75" bottom="0.75" header="0.3" footer="0.3"/>
  <pageSetup scale="72" orientation="landscape"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 Respondents</vt:lpstr>
      <vt:lpstr># Responses</vt:lpstr>
      <vt:lpstr>Respondent Burden</vt:lpstr>
      <vt:lpstr>Agency Burden</vt:lpstr>
      <vt:lpstr>'Agency Burden'!Print_Area</vt:lpstr>
      <vt:lpstr>'Respondent Burden'!Print_Area</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EV</dc:creator>
  <cp:lastModifiedBy>wwrigley</cp:lastModifiedBy>
  <cp:lastPrinted>2013-09-03T15:51:35Z</cp:lastPrinted>
  <dcterms:created xsi:type="dcterms:W3CDTF">2013-07-15T20:11:44Z</dcterms:created>
  <dcterms:modified xsi:type="dcterms:W3CDTF">2018-10-12T15:27:45Z</dcterms:modified>
</cp:coreProperties>
</file>