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584-AE62 BBCE Proposed Rule 9-27-18\BBCE ICR for Proposed Rule AE62 Jess Luna 7-2-19\"/>
    </mc:Choice>
  </mc:AlternateContent>
  <bookViews>
    <workbookView xWindow="0" yWindow="0" windowWidth="15525" windowHeight="6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9" i="1"/>
  <c r="Z47" i="1" l="1"/>
  <c r="Q15" i="1"/>
  <c r="Q24" i="1"/>
  <c r="Q21" i="1"/>
  <c r="Q20" i="1"/>
  <c r="Q18" i="1"/>
  <c r="Q16" i="1"/>
  <c r="Q9" i="1"/>
  <c r="L13" i="1"/>
  <c r="J11" i="1"/>
  <c r="F10" i="1"/>
  <c r="J6" i="1"/>
  <c r="H5" i="1"/>
  <c r="G4" i="1"/>
  <c r="L17" i="1" l="1"/>
  <c r="N9" i="1" l="1"/>
  <c r="F9" i="1"/>
  <c r="P45" i="1"/>
  <c r="P30" i="1" s="1"/>
  <c r="P42" i="1"/>
  <c r="P39" i="1" s="1"/>
  <c r="P36" i="1" l="1"/>
  <c r="P37" i="1"/>
  <c r="P32" i="1"/>
  <c r="P29" i="1"/>
  <c r="Q29" i="1" s="1"/>
  <c r="R29" i="1" s="1"/>
  <c r="S11" i="1"/>
  <c r="S10" i="1"/>
  <c r="U29" i="1" l="1"/>
  <c r="Z29" i="1"/>
  <c r="G2" i="1" l="1"/>
  <c r="Z51" i="1"/>
  <c r="H2" i="1" l="1"/>
  <c r="J2" i="1" s="1"/>
  <c r="C18" i="1"/>
  <c r="Q32" i="1" l="1"/>
  <c r="Z32" i="1" s="1"/>
  <c r="K2" i="1" s="1"/>
  <c r="Q39" i="1"/>
  <c r="M2" i="1" l="1"/>
  <c r="Z39" i="1"/>
  <c r="K5" i="1" s="1"/>
  <c r="U39" i="1"/>
  <c r="U32" i="1"/>
  <c r="R36" i="1"/>
  <c r="Q37" i="1"/>
  <c r="R37" i="1" s="1"/>
  <c r="Q36" i="1"/>
  <c r="G5" i="1" s="1"/>
  <c r="J5" i="1" s="1"/>
  <c r="Q30" i="1"/>
  <c r="R30" i="1" s="1"/>
  <c r="I23" i="1"/>
  <c r="I24" i="1"/>
  <c r="I21" i="1"/>
  <c r="I20" i="1"/>
  <c r="O5" i="1" l="1"/>
  <c r="Z37" i="1"/>
  <c r="K6" i="1" s="1"/>
  <c r="G6" i="1"/>
  <c r="H6" i="1" s="1"/>
  <c r="U37" i="1"/>
  <c r="G7" i="1"/>
  <c r="H7" i="1" s="1"/>
  <c r="J7" i="1" s="1"/>
  <c r="Z36" i="1"/>
  <c r="M5" i="1"/>
  <c r="U36" i="1"/>
  <c r="U41" i="1" s="1"/>
  <c r="G3" i="1"/>
  <c r="Z30" i="1"/>
  <c r="K3" i="1" s="1"/>
  <c r="U30" i="1"/>
  <c r="U34" i="1" s="1"/>
  <c r="Z41" i="1" l="1"/>
  <c r="K11" i="1" s="1"/>
  <c r="K7" i="1"/>
  <c r="H3" i="1"/>
  <c r="J3" i="1" s="1"/>
  <c r="H4" i="1"/>
  <c r="K4" i="1"/>
  <c r="K9" i="1" s="1"/>
  <c r="Z34" i="1"/>
  <c r="Z43" i="1" s="1"/>
  <c r="Z50" i="1" s="1"/>
  <c r="J4" i="1" l="1"/>
  <c r="O4" i="1" s="1"/>
  <c r="M3" i="1"/>
  <c r="F11" i="1"/>
  <c r="H11" i="1" s="1"/>
  <c r="K10" i="1"/>
  <c r="M7" i="1"/>
  <c r="O7" i="1"/>
  <c r="K12" i="1" l="1"/>
  <c r="C22" i="1" s="1"/>
  <c r="F12" i="1"/>
  <c r="F13" i="1" s="1"/>
  <c r="C17" i="1" s="1"/>
  <c r="H10" i="1"/>
  <c r="O11" i="1"/>
  <c r="L11" i="1"/>
  <c r="M4" i="1"/>
  <c r="M6" i="1"/>
  <c r="O6" i="1"/>
  <c r="J10" i="1" l="1"/>
  <c r="H12" i="1"/>
  <c r="K13" i="1"/>
  <c r="O2" i="1"/>
  <c r="Z45" i="1" l="1"/>
  <c r="AC47" i="1" s="1"/>
  <c r="AD47" i="1" s="1"/>
  <c r="H16" i="1"/>
  <c r="O10" i="1"/>
  <c r="O12" i="1" s="1"/>
  <c r="J12" i="1"/>
  <c r="L10" i="1"/>
  <c r="L12" i="1" s="1"/>
  <c r="K16" i="1" l="1"/>
  <c r="I12" i="1"/>
  <c r="O3" i="1"/>
  <c r="J8" i="1"/>
  <c r="G8" i="1"/>
  <c r="H9" i="1"/>
  <c r="L8" i="1" l="1"/>
  <c r="O8" i="1"/>
  <c r="O9" i="1" s="1"/>
  <c r="J9" i="1"/>
  <c r="H13" i="1"/>
  <c r="C19" i="1" s="1"/>
  <c r="H15" i="1"/>
  <c r="L19" i="1"/>
  <c r="Z49" i="1"/>
  <c r="O13" i="1" l="1"/>
  <c r="R9" i="1"/>
  <c r="S9" i="1" s="1"/>
  <c r="T9" i="1" s="1"/>
  <c r="M9" i="1"/>
  <c r="I9" i="1"/>
  <c r="J13" i="1"/>
  <c r="C21" i="1" s="1"/>
  <c r="C23" i="1" s="1"/>
  <c r="I13" i="1" l="1"/>
  <c r="C20" i="1" s="1"/>
</calcChain>
</file>

<file path=xl/comments1.xml><?xml version="1.0" encoding="utf-8"?>
<comments xmlns="http://schemas.openxmlformats.org/spreadsheetml/2006/main">
  <authors>
    <author>Ragland-Greene, Rachelle - FNS</author>
  </authors>
  <commentList>
    <comment ref="K1" authorId="0" shapeId="0">
      <text>
        <r>
          <rPr>
            <b/>
            <sz val="9"/>
            <color indexed="81"/>
            <rFont val="Tahoma"/>
            <family val="2"/>
          </rPr>
          <t>Ragland-Greene, Rachelle - FNS:</t>
        </r>
        <r>
          <rPr>
            <sz val="9"/>
            <color indexed="81"/>
            <rFont val="Tahoma"/>
            <family val="2"/>
          </rPr>
          <t xml:space="preserve">
In order for OCIO and OMB to see how this burden reductions due to this rulemaking applies, the program needs to provide what we believe to be our best guest estimates on what is currently being collected in real time and then we can adequately reflect the reduce burden due to this rule making.  Essentially, show me what the estimates should be now in order to show me how this rulemaking will reduce burden on each affected public it directly impacts.</t>
        </r>
      </text>
    </comment>
    <comment ref="A8" authorId="0" shapeId="0">
      <text>
        <r>
          <rPr>
            <b/>
            <sz val="9"/>
            <color indexed="81"/>
            <rFont val="Tahoma"/>
            <family val="2"/>
          </rPr>
          <t>Ragland-Greene, Rachelle - FNS:</t>
        </r>
        <r>
          <rPr>
            <sz val="9"/>
            <color indexed="81"/>
            <rFont val="Tahoma"/>
            <family val="2"/>
          </rPr>
          <t xml:space="preserve">
verify against the Burden Narrative.
REVISED</t>
        </r>
      </text>
    </comment>
    <comment ref="F9" authorId="0" shapeId="0">
      <text>
        <r>
          <rPr>
            <b/>
            <sz val="9"/>
            <color indexed="81"/>
            <rFont val="Tahoma"/>
            <charset val="1"/>
          </rPr>
          <t>Ragland-Greene, Rachelle - FNS:</t>
        </r>
        <r>
          <rPr>
            <sz val="9"/>
            <color indexed="81"/>
            <rFont val="Tahoma"/>
            <charset val="1"/>
          </rPr>
          <t xml:space="preserve">
Will this rule be a mandate for all 53 SA to comply or just for 43?  What if the other 10 stop complying or using this "option" as it was for them, are they covered in this request, we want to be sure to include every entitiy who is required to submit this information to FNS?  Verify and I will re-evaluate the estimates during the next round of comments/responses.
RESPONSE: FOr Row 9 43, for rows 3-8, 53 SAs at initial and 53 at recert.
</t>
        </r>
      </text>
    </comment>
  </commentList>
</comments>
</file>

<file path=xl/sharedStrings.xml><?xml version="1.0" encoding="utf-8"?>
<sst xmlns="http://schemas.openxmlformats.org/spreadsheetml/2006/main" count="146" uniqueCount="115">
  <si>
    <t>Reg. Section</t>
  </si>
  <si>
    <t>Affected Public</t>
  </si>
  <si>
    <t>Respondent Type</t>
  </si>
  <si>
    <t>Description of Activity</t>
  </si>
  <si>
    <t xml:space="preserve"> Estimated Number of Respondents </t>
  </si>
  <si>
    <t xml:space="preserve">Estimated Frequency of Response </t>
  </si>
  <si>
    <t xml:space="preserve">Number of Burden Hours Per Response </t>
  </si>
  <si>
    <t xml:space="preserve">Estimated Total Burden Hours </t>
  </si>
  <si>
    <t>Hourly Wage Rate*</t>
  </si>
  <si>
    <t>Estimated Cost to Respondents</t>
  </si>
  <si>
    <t>State Agencies</t>
  </si>
  <si>
    <t>State Agency Eligibility Worker</t>
  </si>
  <si>
    <t>Verification of resources at initial application</t>
  </si>
  <si>
    <t>Verification of resources at  recertification</t>
  </si>
  <si>
    <t>Inform FNS of TANF programs that confer categorical eligibility</t>
  </si>
  <si>
    <t>Sub-Total State Agencies</t>
  </si>
  <si>
    <t>Applicants for initial certification</t>
  </si>
  <si>
    <t>Applicants for recertification</t>
  </si>
  <si>
    <t>Sub-Total Individual/Households</t>
  </si>
  <si>
    <t>Grand Total Reporting Burden with both affected public</t>
  </si>
  <si>
    <t>273.2(f) (1) &amp; (2)</t>
  </si>
  <si>
    <t>Verification of resources at initial application (States verifying all resources)</t>
  </si>
  <si>
    <t>Verification of resources at initial application (States verifying resources if questionable)</t>
  </si>
  <si>
    <t>Verification of resources at  recertification (States verifying all resources)</t>
  </si>
  <si>
    <t>Verification of resources at recertification (States verifying resources if questionable)</t>
  </si>
  <si>
    <t>22 verify assets for about 30% of households subject to the resource test</t>
  </si>
  <si>
    <t>10 verify assets for about 10% of households subject to the resource test</t>
  </si>
  <si>
    <t>Total Annual responses</t>
  </si>
  <si>
    <t>30% of households</t>
  </si>
  <si>
    <t>10% of households</t>
  </si>
  <si>
    <t>Verification of resources at initial application (States verifying resources if close to limit)</t>
  </si>
  <si>
    <t>Verification of resources at recertification (States verifying resources if close to limit)</t>
  </si>
  <si>
    <t>FY18 NDB Data on SNAP Total Recertifications (366B)</t>
  </si>
  <si>
    <t>FY18 NDB Data on SNAP Total Initial Applications (366B)</t>
  </si>
  <si>
    <t>Denominator</t>
  </si>
  <si>
    <t>min</t>
  </si>
  <si>
    <t>hours</t>
  </si>
  <si>
    <t>States that verify ALL resources- CW time (11)</t>
  </si>
  <si>
    <t>States that verify when questionable or close to limit (32)</t>
  </si>
  <si>
    <t>32 states verify resources some of the time – of those:</t>
  </si>
  <si>
    <t>When close to asset limit</t>
  </si>
  <si>
    <t>When questionable</t>
  </si>
  <si>
    <t>22 States</t>
  </si>
  <si>
    <t>10 States</t>
  </si>
  <si>
    <t xml:space="preserve">30% of households in 22 States   </t>
  </si>
  <si>
    <t xml:space="preserve">10% of households in 10 States </t>
  </si>
  <si>
    <t>Recertification Total Annual Respondents</t>
  </si>
  <si>
    <t>Initial App Total annual respondents*</t>
  </si>
  <si>
    <t># households per state (Total annual respondents/53), corresponds to "Estimated Frequency of Response"</t>
  </si>
  <si>
    <t># of households per State in States where not all households are subject to verif req.</t>
  </si>
  <si>
    <t>Percentage</t>
  </si>
  <si>
    <t xml:space="preserve">Number of States </t>
  </si>
  <si>
    <t>11 States</t>
  </si>
  <si>
    <t>all households</t>
  </si>
  <si>
    <t>100% of households</t>
  </si>
  <si>
    <t xml:space="preserve">100% of households in 11 States </t>
  </si>
  <si>
    <t>100% of households in 11 States would have resources verified.</t>
  </si>
  <si>
    <t>F12: Number of households that would have to participate in recert verification</t>
  </si>
  <si>
    <t>F11: Number of households that would have to participate in initial verification</t>
  </si>
  <si>
    <t xml:space="preserve">30% of households x </t>
  </si>
  <si>
    <t>22 States  =</t>
  </si>
  <si>
    <t xml:space="preserve">10% of households x </t>
  </si>
  <si>
    <t>10 States  =</t>
  </si>
  <si>
    <t>Previous Burden in Use Without Approval</t>
  </si>
  <si>
    <t>Difference Due to Adjustments</t>
  </si>
  <si>
    <t xml:space="preserve">Differences Due to Program Changes </t>
  </si>
  <si>
    <t>TOTAL NO. RESPONDENTS</t>
  </si>
  <si>
    <t>AVERAGE NO. RESPONSES PER RESPONDENT</t>
  </si>
  <si>
    <t>TOTAL ANNUAL RESPONSES</t>
  </si>
  <si>
    <t>AVERAGE HOURS PER RESPONSE</t>
  </si>
  <si>
    <t>CURRENT OMB INVENTORY</t>
  </si>
  <si>
    <t>DIFFERENCE</t>
  </si>
  <si>
    <t>SUMMARY OF BURDEN (OMB #0584-NEW)</t>
  </si>
  <si>
    <t>TOTAL ANNUAL BURDEN HOURS REQUESTED DUE TO RULEMAKING</t>
  </si>
  <si>
    <t>5 States</t>
  </si>
  <si>
    <t>3 States</t>
  </si>
  <si>
    <t xml:space="preserve">2 States </t>
  </si>
  <si>
    <t>Current Status Quo (10 States that verify resources)</t>
  </si>
  <si>
    <t>30% of households in 5 States</t>
  </si>
  <si>
    <t>10% of households in 3 states</t>
  </si>
  <si>
    <t>100% of households in 2 States</t>
  </si>
  <si>
    <t>Current Status Quo</t>
  </si>
  <si>
    <t xml:space="preserve">5 States </t>
  </si>
  <si>
    <t>2 States</t>
  </si>
  <si>
    <t>when close to limit</t>
  </si>
  <si>
    <t xml:space="preserve">when questionable </t>
  </si>
  <si>
    <t>ESTIMATE- NOT APPROVED</t>
  </si>
  <si>
    <t>Current Burden estimates without OMB approval (i.e. what States are doing now without OMB approval; the 10 States without Cat El)</t>
  </si>
  <si>
    <t>Number of responses</t>
  </si>
  <si>
    <t>&lt;-- This number is the total amount of recert applicants that are having their resources verified. Multiply this number by Cell K12</t>
  </si>
  <si>
    <t>&lt;-- This number is the total amount of initial applicants that are having their resources verified right now. Multiply this number by Cell K12</t>
  </si>
  <si>
    <t xml:space="preserve">Total number of responses requested </t>
  </si>
  <si>
    <t>Total number of responses requested for individuals</t>
  </si>
  <si>
    <t xml:space="preserve">Total current responses estimated </t>
  </si>
  <si>
    <t>Difference (increase in burden hours requested)</t>
  </si>
  <si>
    <t>273.2(j)(2)(ii)&amp;273.2(j)(2)(i)(B)</t>
  </si>
  <si>
    <t>273.2(f)(8)(i)</t>
  </si>
  <si>
    <t>Total number of  Responses not accounted for (Same # for States and individuals)</t>
  </si>
  <si>
    <t xml:space="preserve">Note: The column “Estimated number of respondents” for rows with the regulatory citation 273.2(f) (1) &amp; (2) and 273.2(f)(8)(i) includes both the 10 State Agencies collecting this information without OMB approval and the 43 that would collect this information as a result of the rulemaking, for a total of 53 State agencies affected at application and recertification.  </t>
  </si>
  <si>
    <t>Updated to reduce by 21.9%</t>
  </si>
  <si>
    <t>New Initial # (nonPA)</t>
  </si>
  <si>
    <t>New Recert # (nonPA)</t>
  </si>
  <si>
    <t>This number is the # not included in the burden</t>
  </si>
  <si>
    <t>Household</t>
  </si>
  <si>
    <t>hh</t>
  </si>
  <si>
    <t>sa</t>
  </si>
  <si>
    <t>inc resp</t>
  </si>
  <si>
    <t>State Cost</t>
  </si>
  <si>
    <t>State Fringe benefits (.33)</t>
  </si>
  <si>
    <t>Cost to States (Q15+Q16)</t>
  </si>
  <si>
    <t>Fed Gov Cost (50% of State cost)</t>
  </si>
  <si>
    <t>Fed Fringe Benefits (.33)</t>
  </si>
  <si>
    <t>Total fed cost (Q21 + Q22 + Q23)</t>
  </si>
  <si>
    <t>Q 14 numbers</t>
  </si>
  <si>
    <t>Difference ; increase in annual responses due to rulemaking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</si>
</sst>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1" formatCode="_(* #,##0_);_(* \(#,##0\);_(* &quot;-&quot;_);_(@_)"/>
    <numFmt numFmtId="44" formatCode="_(&quot;$&quot;* #,##0.00_);_(&quot;$&quot;* \(#,##0.00\);_(&quot;$&quot;* &quot;-&quot;??_);_(@_)"/>
    <numFmt numFmtId="164" formatCode="&quot;$&quot;#,##0.00"/>
    <numFmt numFmtId="165" formatCode="#,##0.00000000"/>
  </numFmts>
  <fonts count="21" x14ac:knownFonts="1">
    <font>
      <sz val="11"/>
      <color theme="1"/>
      <name val="Calibri"/>
      <family val="2"/>
      <scheme val="minor"/>
    </font>
    <font>
      <b/>
      <sz val="11"/>
      <color theme="1"/>
      <name val="Times New Roman"/>
      <family val="1"/>
    </font>
    <font>
      <sz val="11"/>
      <color rgb="FF000000"/>
      <name val="Times New Roman"/>
      <family val="1"/>
    </font>
    <font>
      <b/>
      <sz val="8"/>
      <name val="Arial"/>
      <family val="2"/>
    </font>
    <font>
      <sz val="9"/>
      <color indexed="81"/>
      <name val="Tahoma"/>
      <family val="2"/>
    </font>
    <font>
      <b/>
      <sz val="9"/>
      <color indexed="81"/>
      <name val="Tahoma"/>
      <family val="2"/>
    </font>
    <font>
      <b/>
      <sz val="11"/>
      <name val="Arial"/>
      <family val="2"/>
    </font>
    <font>
      <b/>
      <sz val="11"/>
      <color indexed="8"/>
      <name val="Arial Narrow"/>
      <family val="2"/>
    </font>
    <font>
      <b/>
      <sz val="11"/>
      <color indexed="8"/>
      <name val="Arial"/>
      <family val="2"/>
    </font>
    <font>
      <b/>
      <sz val="11"/>
      <name val="Times New Roman"/>
      <family val="1"/>
    </font>
    <font>
      <b/>
      <sz val="14"/>
      <color rgb="FFFF0000"/>
      <name val="Times New Roman"/>
      <family val="1"/>
    </font>
    <font>
      <b/>
      <sz val="14"/>
      <name val="Times New Roman"/>
      <family val="1"/>
    </font>
    <font>
      <sz val="14"/>
      <color theme="1"/>
      <name val="Calibri"/>
      <family val="2"/>
      <scheme val="minor"/>
    </font>
    <font>
      <sz val="9"/>
      <color indexed="81"/>
      <name val="Tahoma"/>
      <charset val="1"/>
    </font>
    <font>
      <b/>
      <sz val="9"/>
      <color indexed="81"/>
      <name val="Tahoma"/>
      <charset val="1"/>
    </font>
    <font>
      <sz val="11"/>
      <name val="Times New Roman"/>
      <family val="1"/>
    </font>
    <font>
      <sz val="8"/>
      <color theme="1"/>
      <name val="Times New Roman"/>
      <family val="1"/>
    </font>
    <font>
      <u/>
      <sz val="11"/>
      <color theme="1"/>
      <name val="Calibri"/>
      <family val="2"/>
      <scheme val="minor"/>
    </font>
    <font>
      <b/>
      <sz val="11"/>
      <color theme="0"/>
      <name val="Calibri"/>
      <family val="2"/>
      <scheme val="minor"/>
    </font>
    <font>
      <sz val="11"/>
      <color theme="0"/>
      <name val="Calibri"/>
      <family val="2"/>
      <scheme val="minor"/>
    </font>
    <font>
      <b/>
      <sz val="8"/>
      <color theme="0"/>
      <name val="Arial"/>
      <family val="2"/>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indexed="47"/>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399975585192419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thin">
        <color indexed="22"/>
      </top>
      <bottom style="medium">
        <color indexed="2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104">
    <xf numFmtId="0" fontId="0" fillId="0" borderId="0" xfId="0"/>
    <xf numFmtId="0" fontId="0" fillId="0" borderId="0" xfId="0" applyFont="1"/>
    <xf numFmtId="0" fontId="0" fillId="0" borderId="0" xfId="0" applyFont="1" applyAlignment="1">
      <alignment vertical="center"/>
    </xf>
    <xf numFmtId="0" fontId="2" fillId="0" borderId="2" xfId="0" applyFont="1" applyBorder="1" applyAlignment="1">
      <alignment horizontal="center" vertical="center"/>
    </xf>
    <xf numFmtId="3" fontId="3" fillId="0" borderId="13" xfId="0" applyNumberFormat="1" applyFont="1" applyFill="1" applyBorder="1" applyAlignment="1">
      <alignment horizontal="right"/>
    </xf>
    <xf numFmtId="4" fontId="0" fillId="0" borderId="0" xfId="0" applyNumberFormat="1" applyFont="1"/>
    <xf numFmtId="4" fontId="10" fillId="0" borderId="2" xfId="0" applyNumberFormat="1" applyFont="1" applyBorder="1" applyAlignment="1">
      <alignment horizontal="center" vertical="center"/>
    </xf>
    <xf numFmtId="0" fontId="12" fillId="0" borderId="0" xfId="0" applyFont="1"/>
    <xf numFmtId="4" fontId="12" fillId="0" borderId="0" xfId="0" applyNumberFormat="1" applyFont="1"/>
    <xf numFmtId="3" fontId="10" fillId="0" borderId="6" xfId="0" applyNumberFormat="1" applyFont="1" applyBorder="1" applyAlignment="1">
      <alignment horizontal="center" vertical="center"/>
    </xf>
    <xf numFmtId="3" fontId="10" fillId="7" borderId="6" xfId="0" applyNumberFormat="1" applyFont="1" applyFill="1" applyBorder="1" applyAlignment="1">
      <alignment horizontal="center" vertical="center"/>
    </xf>
    <xf numFmtId="0" fontId="12" fillId="7" borderId="0" xfId="0" applyFont="1" applyFill="1"/>
    <xf numFmtId="4" fontId="12" fillId="7" borderId="0" xfId="0" applyNumberFormat="1" applyFont="1" applyFill="1"/>
    <xf numFmtId="0" fontId="16" fillId="0" borderId="0" xfId="0" applyFont="1" applyAlignment="1">
      <alignment vertical="center"/>
    </xf>
    <xf numFmtId="41" fontId="0" fillId="0" borderId="0" xfId="0" applyNumberFormat="1" applyFont="1"/>
    <xf numFmtId="0" fontId="1" fillId="0" borderId="2" xfId="0" applyFont="1" applyBorder="1" applyAlignment="1">
      <alignment vertical="center" wrapText="1"/>
    </xf>
    <xf numFmtId="0" fontId="15" fillId="0" borderId="2" xfId="0" applyFont="1" applyBorder="1" applyAlignment="1">
      <alignment horizontal="left" vertical="top"/>
    </xf>
    <xf numFmtId="0" fontId="10" fillId="7" borderId="6" xfId="0" applyFont="1" applyFill="1" applyBorder="1" applyAlignment="1">
      <alignment horizontal="left" vertical="top"/>
    </xf>
    <xf numFmtId="0" fontId="9" fillId="6" borderId="2" xfId="0" applyFont="1" applyFill="1" applyBorder="1" applyAlignment="1">
      <alignment horizontal="left" vertical="top" wrapText="1"/>
    </xf>
    <xf numFmtId="44" fontId="0" fillId="0" borderId="0" xfId="0" applyNumberFormat="1" applyFont="1"/>
    <xf numFmtId="8" fontId="0" fillId="0" borderId="0" xfId="0" applyNumberFormat="1" applyFont="1"/>
    <xf numFmtId="0" fontId="17" fillId="0" borderId="0" xfId="0" applyFont="1"/>
    <xf numFmtId="0" fontId="9" fillId="0" borderId="2" xfId="0" applyFont="1" applyBorder="1" applyAlignment="1">
      <alignment horizontal="left" vertical="top" wrapText="1"/>
    </xf>
    <xf numFmtId="0" fontId="9" fillId="2" borderId="2" xfId="0" applyFont="1" applyFill="1" applyBorder="1" applyAlignment="1">
      <alignment horizontal="left" vertical="top" wrapText="1"/>
    </xf>
    <xf numFmtId="0" fontId="15" fillId="0" borderId="2" xfId="0" applyFont="1" applyBorder="1" applyAlignment="1">
      <alignment horizontal="left" vertical="top" wrapText="1"/>
    </xf>
    <xf numFmtId="4" fontId="15" fillId="0" borderId="2" xfId="0" applyNumberFormat="1" applyFont="1" applyBorder="1" applyAlignment="1">
      <alignment horizontal="left" vertical="top"/>
    </xf>
    <xf numFmtId="2" fontId="15" fillId="0" borderId="2" xfId="0" applyNumberFormat="1" applyFont="1" applyBorder="1" applyAlignment="1">
      <alignment horizontal="left" vertical="top"/>
    </xf>
    <xf numFmtId="8" fontId="15" fillId="0" borderId="2" xfId="0" applyNumberFormat="1" applyFont="1" applyBorder="1" applyAlignment="1">
      <alignment horizontal="left" vertical="top"/>
    </xf>
    <xf numFmtId="44" fontId="15" fillId="0" borderId="2" xfId="0" applyNumberFormat="1" applyFont="1" applyBorder="1" applyAlignment="1">
      <alignment horizontal="left" vertical="top"/>
    </xf>
    <xf numFmtId="4" fontId="15" fillId="4" borderId="2" xfId="0" applyNumberFormat="1" applyFont="1" applyFill="1" applyBorder="1" applyAlignment="1">
      <alignment horizontal="left" vertical="top"/>
    </xf>
    <xf numFmtId="4" fontId="15" fillId="0" borderId="1" xfId="0" applyNumberFormat="1" applyFont="1" applyBorder="1" applyAlignment="1">
      <alignment horizontal="left" vertical="top"/>
    </xf>
    <xf numFmtId="164" fontId="15" fillId="0" borderId="2" xfId="0" applyNumberFormat="1" applyFont="1" applyBorder="1" applyAlignment="1">
      <alignment horizontal="left" vertical="top"/>
    </xf>
    <xf numFmtId="4" fontId="11" fillId="0" borderId="2" xfId="0" applyNumberFormat="1" applyFont="1" applyBorder="1" applyAlignment="1">
      <alignment horizontal="left" vertical="top"/>
    </xf>
    <xf numFmtId="0" fontId="11" fillId="0" borderId="2" xfId="0" applyFont="1" applyBorder="1" applyAlignment="1">
      <alignment horizontal="left" vertical="top"/>
    </xf>
    <xf numFmtId="8" fontId="11" fillId="0" borderId="2" xfId="0" applyNumberFormat="1" applyFont="1" applyBorder="1" applyAlignment="1">
      <alignment horizontal="left" vertical="top"/>
    </xf>
    <xf numFmtId="44" fontId="11" fillId="4" borderId="2" xfId="0" applyNumberFormat="1" applyFont="1" applyFill="1" applyBorder="1" applyAlignment="1">
      <alignment horizontal="left" vertical="top"/>
    </xf>
    <xf numFmtId="3" fontId="15" fillId="0" borderId="2" xfId="0" applyNumberFormat="1" applyFont="1" applyBorder="1" applyAlignment="1">
      <alignment horizontal="left" vertical="top"/>
    </xf>
    <xf numFmtId="3" fontId="15" fillId="0" borderId="1" xfId="0" applyNumberFormat="1" applyFont="1" applyBorder="1" applyAlignment="1">
      <alignment horizontal="left" vertical="top"/>
    </xf>
    <xf numFmtId="0" fontId="15" fillId="0" borderId="1" xfId="0" applyFont="1" applyBorder="1" applyAlignment="1">
      <alignment horizontal="left" vertical="top"/>
    </xf>
    <xf numFmtId="8" fontId="15" fillId="0" borderId="1" xfId="0" applyNumberFormat="1" applyFont="1" applyBorder="1" applyAlignment="1">
      <alignment horizontal="left" vertical="top"/>
    </xf>
    <xf numFmtId="3" fontId="11" fillId="0" borderId="6" xfId="0" applyNumberFormat="1" applyFont="1" applyBorder="1" applyAlignment="1">
      <alignment horizontal="left" vertical="top"/>
    </xf>
    <xf numFmtId="0" fontId="11" fillId="0" borderId="6" xfId="0" applyFont="1" applyBorder="1" applyAlignment="1">
      <alignment horizontal="left" vertical="top"/>
    </xf>
    <xf numFmtId="4" fontId="11" fillId="0" borderId="6" xfId="0" applyNumberFormat="1" applyFont="1" applyBorder="1" applyAlignment="1">
      <alignment horizontal="left" vertical="top"/>
    </xf>
    <xf numFmtId="8" fontId="11" fillId="0" borderId="6" xfId="0" applyNumberFormat="1" applyFont="1" applyBorder="1" applyAlignment="1">
      <alignment horizontal="left" vertical="top"/>
    </xf>
    <xf numFmtId="3" fontId="11" fillId="7" borderId="6" xfId="0" applyNumberFormat="1" applyFont="1" applyFill="1" applyBorder="1" applyAlignment="1">
      <alignment horizontal="left" vertical="top"/>
    </xf>
    <xf numFmtId="0" fontId="11" fillId="7" borderId="6" xfId="0" applyFont="1" applyFill="1" applyBorder="1" applyAlignment="1">
      <alignment horizontal="left" vertical="top"/>
    </xf>
    <xf numFmtId="4" fontId="11" fillId="7" borderId="6" xfId="0" applyNumberFormat="1" applyFont="1" applyFill="1" applyBorder="1" applyAlignment="1">
      <alignment horizontal="left" vertical="top"/>
    </xf>
    <xf numFmtId="2" fontId="15" fillId="0" borderId="1" xfId="0" applyNumberFormat="1" applyFont="1" applyBorder="1" applyAlignment="1">
      <alignment horizontal="left" vertical="top"/>
    </xf>
    <xf numFmtId="8" fontId="11" fillId="7" borderId="6" xfId="0" applyNumberFormat="1" applyFont="1" applyFill="1" applyBorder="1" applyAlignment="1">
      <alignment horizontal="left" vertical="top"/>
    </xf>
    <xf numFmtId="44" fontId="11" fillId="7" borderId="6" xfId="0" applyNumberFormat="1" applyFont="1" applyFill="1" applyBorder="1" applyAlignment="1">
      <alignment horizontal="left" vertical="top"/>
    </xf>
    <xf numFmtId="0" fontId="15" fillId="4" borderId="2" xfId="0" applyFont="1" applyFill="1" applyBorder="1" applyAlignment="1">
      <alignment horizontal="left" vertical="top"/>
    </xf>
    <xf numFmtId="0" fontId="11" fillId="4" borderId="2" xfId="0" applyFont="1" applyFill="1" applyBorder="1" applyAlignment="1">
      <alignment horizontal="left" vertical="top"/>
    </xf>
    <xf numFmtId="4" fontId="11" fillId="4" borderId="2" xfId="0" applyNumberFormat="1" applyFont="1" applyFill="1" applyBorder="1" applyAlignment="1">
      <alignment horizontal="left" vertical="top"/>
    </xf>
    <xf numFmtId="4" fontId="11" fillId="4" borderId="6" xfId="0" applyNumberFormat="1" applyFont="1" applyFill="1" applyBorder="1" applyAlignment="1">
      <alignment horizontal="left" vertical="top"/>
    </xf>
    <xf numFmtId="0" fontId="19" fillId="0" borderId="0" xfId="0" applyFont="1" applyAlignment="1">
      <alignment vertical="center"/>
    </xf>
    <xf numFmtId="0" fontId="19" fillId="0" borderId="0" xfId="0" applyFont="1"/>
    <xf numFmtId="0" fontId="18" fillId="0" borderId="0" xfId="0" applyFont="1" applyAlignment="1">
      <alignment wrapText="1"/>
    </xf>
    <xf numFmtId="0" fontId="19" fillId="0" borderId="0" xfId="0" applyFont="1" applyAlignment="1">
      <alignment wrapText="1"/>
    </xf>
    <xf numFmtId="4" fontId="19" fillId="0" borderId="0" xfId="0" applyNumberFormat="1" applyFont="1"/>
    <xf numFmtId="0" fontId="19" fillId="0" borderId="0" xfId="0" applyFont="1" applyAlignment="1">
      <alignment horizontal="left" vertical="center" indent="5"/>
    </xf>
    <xf numFmtId="3" fontId="20" fillId="0" borderId="13" xfId="0" applyNumberFormat="1" applyFont="1" applyFill="1" applyBorder="1" applyAlignment="1">
      <alignment horizontal="right"/>
    </xf>
    <xf numFmtId="3" fontId="19" fillId="0" borderId="0" xfId="0" applyNumberFormat="1" applyFont="1"/>
    <xf numFmtId="0" fontId="19" fillId="8" borderId="0" xfId="0" applyFont="1" applyFill="1"/>
    <xf numFmtId="3" fontId="20" fillId="8" borderId="13" xfId="0" applyNumberFormat="1" applyFont="1" applyFill="1" applyBorder="1" applyAlignment="1">
      <alignment horizontal="right"/>
    </xf>
    <xf numFmtId="165" fontId="19" fillId="0" borderId="0" xfId="0" applyNumberFormat="1" applyFont="1"/>
    <xf numFmtId="165" fontId="10" fillId="0" borderId="2" xfId="0" applyNumberFormat="1" applyFont="1" applyBorder="1" applyAlignment="1">
      <alignment horizontal="left" vertical="top"/>
    </xf>
    <xf numFmtId="37" fontId="7" fillId="0" borderId="10" xfId="0" applyNumberFormat="1" applyFont="1" applyBorder="1" applyAlignment="1" applyProtection="1">
      <alignment horizontal="left"/>
    </xf>
    <xf numFmtId="0" fontId="0" fillId="0" borderId="11" xfId="0" applyFont="1" applyBorder="1" applyAlignment="1">
      <alignment horizontal="left"/>
    </xf>
    <xf numFmtId="41" fontId="6" fillId="0" borderId="14" xfId="0" applyNumberFormat="1" applyFont="1" applyBorder="1" applyAlignment="1"/>
    <xf numFmtId="0" fontId="0" fillId="0" borderId="16" xfId="0" applyFont="1" applyBorder="1" applyAlignment="1"/>
    <xf numFmtId="37" fontId="6" fillId="0" borderId="14" xfId="0" applyNumberFormat="1" applyFont="1" applyBorder="1" applyAlignment="1"/>
    <xf numFmtId="39" fontId="6" fillId="0" borderId="14" xfId="0" applyNumberFormat="1" applyFont="1" applyBorder="1" applyAlignment="1"/>
    <xf numFmtId="37" fontId="8" fillId="0" borderId="10" xfId="0" applyNumberFormat="1" applyFont="1" applyBorder="1" applyAlignment="1" applyProtection="1">
      <alignment horizontal="left" wrapText="1"/>
    </xf>
    <xf numFmtId="0" fontId="0" fillId="0" borderId="11" xfId="0" applyFont="1" applyBorder="1" applyAlignment="1">
      <alignment horizontal="left" wrapText="1"/>
    </xf>
    <xf numFmtId="0" fontId="6" fillId="5" borderId="14" xfId="0" applyFont="1" applyFill="1" applyBorder="1" applyAlignment="1">
      <alignment horizontal="center"/>
    </xf>
    <xf numFmtId="0" fontId="6" fillId="5" borderId="15" xfId="0" applyFont="1" applyFill="1" applyBorder="1" applyAlignment="1">
      <alignment horizontal="center"/>
    </xf>
    <xf numFmtId="0" fontId="0" fillId="5" borderId="16" xfId="0" applyFont="1" applyFill="1" applyBorder="1" applyAlignment="1"/>
    <xf numFmtId="37" fontId="7" fillId="0" borderId="8" xfId="0" applyNumberFormat="1" applyFont="1" applyBorder="1" applyAlignment="1" applyProtection="1">
      <alignment horizontal="left"/>
    </xf>
    <xf numFmtId="37" fontId="7" fillId="0" borderId="17" xfId="0" applyNumberFormat="1" applyFont="1" applyBorder="1" applyAlignment="1" applyProtection="1">
      <alignment horizontal="left"/>
    </xf>
    <xf numFmtId="41" fontId="6" fillId="0" borderId="18" xfId="0" applyNumberFormat="1" applyFont="1" applyBorder="1" applyAlignment="1"/>
    <xf numFmtId="0" fontId="0" fillId="0" borderId="19" xfId="0" applyFont="1" applyBorder="1" applyAlignment="1"/>
    <xf numFmtId="37" fontId="7" fillId="0" borderId="10" xfId="0" applyNumberFormat="1" applyFont="1" applyBorder="1" applyAlignment="1" applyProtection="1">
      <alignment wrapText="1"/>
    </xf>
    <xf numFmtId="0" fontId="0" fillId="0" borderId="20" xfId="0" applyFont="1" applyBorder="1" applyAlignment="1">
      <alignment wrapText="1"/>
    </xf>
    <xf numFmtId="39" fontId="6" fillId="0" borderId="9" xfId="0" applyNumberFormat="1" applyFont="1" applyBorder="1" applyAlignment="1"/>
    <xf numFmtId="0" fontId="0" fillId="0" borderId="4" xfId="0" applyFont="1" applyBorder="1" applyAlignment="1"/>
    <xf numFmtId="0" fontId="11" fillId="7" borderId="10" xfId="0" applyFont="1" applyFill="1" applyBorder="1" applyAlignment="1">
      <alignment horizontal="left" vertical="top"/>
    </xf>
    <xf numFmtId="0" fontId="11" fillId="7" borderId="11" xfId="0" applyFont="1" applyFill="1" applyBorder="1" applyAlignment="1">
      <alignment horizontal="left" vertical="top"/>
    </xf>
    <xf numFmtId="0" fontId="11" fillId="7" borderId="12" xfId="0" applyFont="1" applyFill="1" applyBorder="1" applyAlignment="1">
      <alignment horizontal="left" vertical="top"/>
    </xf>
    <xf numFmtId="0" fontId="11" fillId="2" borderId="9" xfId="0" applyFont="1" applyFill="1" applyBorder="1" applyAlignment="1">
      <alignment horizontal="left" vertical="top"/>
    </xf>
    <xf numFmtId="0" fontId="11" fillId="2" borderId="3" xfId="0" applyFont="1" applyFill="1" applyBorder="1" applyAlignment="1">
      <alignment horizontal="left" vertical="top"/>
    </xf>
    <xf numFmtId="0" fontId="11" fillId="2" borderId="4" xfId="0" applyFont="1" applyFill="1" applyBorder="1" applyAlignment="1">
      <alignment horizontal="left" vertical="top"/>
    </xf>
    <xf numFmtId="0" fontId="9" fillId="0" borderId="9" xfId="0" applyFont="1" applyBorder="1" applyAlignment="1">
      <alignment horizontal="left" vertical="top" wrapText="1"/>
    </xf>
    <xf numFmtId="0" fontId="9" fillId="0" borderId="4" xfId="0" applyFont="1" applyBorder="1" applyAlignment="1">
      <alignment horizontal="left" vertical="top" wrapText="1"/>
    </xf>
    <xf numFmtId="0" fontId="9" fillId="0" borderId="7" xfId="0" applyFont="1" applyBorder="1" applyAlignment="1">
      <alignment horizontal="left" vertical="top" wrapText="1"/>
    </xf>
    <xf numFmtId="0" fontId="9" fillId="0" borderId="5" xfId="0" applyFont="1" applyBorder="1" applyAlignment="1">
      <alignment horizontal="left" vertical="top" wrapText="1"/>
    </xf>
    <xf numFmtId="0" fontId="11" fillId="3" borderId="10" xfId="0" applyFont="1" applyFill="1" applyBorder="1" applyAlignment="1">
      <alignment horizontal="left" vertical="top" wrapText="1"/>
    </xf>
    <xf numFmtId="0" fontId="11" fillId="3" borderId="11" xfId="0" applyFont="1" applyFill="1" applyBorder="1" applyAlignment="1">
      <alignment horizontal="left" vertical="top" wrapText="1"/>
    </xf>
    <xf numFmtId="0" fontId="11" fillId="3" borderId="12" xfId="0" applyFont="1" applyFill="1" applyBorder="1" applyAlignment="1">
      <alignment horizontal="left" vertical="top" wrapText="1"/>
    </xf>
    <xf numFmtId="0" fontId="15" fillId="0" borderId="9" xfId="0" applyFont="1" applyBorder="1" applyAlignment="1">
      <alignment horizontal="left" vertical="top" wrapText="1"/>
    </xf>
    <xf numFmtId="0" fontId="15" fillId="0" borderId="4" xfId="0" applyFont="1" applyBorder="1" applyAlignment="1">
      <alignment horizontal="left" vertical="top" wrapText="1"/>
    </xf>
    <xf numFmtId="0" fontId="15" fillId="0" borderId="7" xfId="0" applyFont="1" applyBorder="1" applyAlignment="1">
      <alignment horizontal="left" vertical="top" wrapText="1"/>
    </xf>
    <xf numFmtId="0" fontId="15" fillId="0" borderId="5" xfId="0" applyFont="1" applyBorder="1" applyAlignment="1">
      <alignment horizontal="left" vertical="top" wrapText="1"/>
    </xf>
    <xf numFmtId="0" fontId="15" fillId="0" borderId="8" xfId="0" applyFont="1" applyBorder="1" applyAlignment="1">
      <alignment horizontal="left" vertical="top" wrapText="1"/>
    </xf>
    <xf numFmtId="0" fontId="15"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1"/>
  <sheetViews>
    <sheetView tabSelected="1" topLeftCell="A7" zoomScaleNormal="100" workbookViewId="0">
      <pane xSplit="1" topLeftCell="B1" activePane="topRight" state="frozen"/>
      <selection pane="topRight" activeCell="G13" sqref="G13"/>
    </sheetView>
  </sheetViews>
  <sheetFormatPr defaultColWidth="14.140625" defaultRowHeight="26.25" customHeight="1" x14ac:dyDescent="0.25"/>
  <cols>
    <col min="1" max="1" width="66.7109375" style="1" customWidth="1"/>
    <col min="2" max="2" width="18.5703125" style="1" customWidth="1"/>
    <col min="3" max="3" width="0.42578125" style="1" customWidth="1"/>
    <col min="4" max="4" width="17.5703125" style="1" customWidth="1"/>
    <col min="5" max="5" width="20.28515625" style="1" customWidth="1"/>
    <col min="6" max="6" width="20.7109375" style="1" customWidth="1"/>
    <col min="7" max="7" width="22.7109375" style="1" customWidth="1"/>
    <col min="8" max="8" width="20" style="1" customWidth="1"/>
    <col min="9" max="9" width="14.140625" style="1"/>
    <col min="10" max="10" width="17.85546875" style="1" customWidth="1"/>
    <col min="11" max="11" width="19.28515625" style="1" customWidth="1"/>
    <col min="12" max="13" width="17.85546875" style="1" customWidth="1"/>
    <col min="14" max="14" width="14.140625" style="1"/>
    <col min="15" max="15" width="24.7109375" style="1" customWidth="1"/>
    <col min="16" max="16" width="14.140625" style="1"/>
    <col min="17" max="17" width="26.7109375" style="1" hidden="1" customWidth="1"/>
    <col min="18" max="18" width="35.28515625" style="1" hidden="1" customWidth="1"/>
    <col min="19" max="19" width="27.42578125" style="1" hidden="1" customWidth="1"/>
    <col min="20" max="20" width="18" style="1" hidden="1" customWidth="1"/>
    <col min="21" max="21" width="0" style="1" hidden="1" customWidth="1"/>
    <col min="22" max="22" width="31.140625" style="1" hidden="1" customWidth="1"/>
    <col min="23" max="25" width="0" style="1" hidden="1" customWidth="1"/>
    <col min="26" max="26" width="0" style="5" hidden="1" customWidth="1"/>
    <col min="27" max="27" width="0" style="1" hidden="1" customWidth="1"/>
    <col min="28" max="28" width="43.85546875" style="1" hidden="1" customWidth="1"/>
    <col min="29" max="63" width="0" style="1" hidden="1" customWidth="1"/>
    <col min="64" max="16384" width="14.140625" style="1"/>
  </cols>
  <sheetData>
    <row r="1" spans="1:26" ht="67.5" customHeight="1" thickBot="1" x14ac:dyDescent="0.3">
      <c r="A1" s="22" t="s">
        <v>0</v>
      </c>
      <c r="B1" s="91" t="s">
        <v>1</v>
      </c>
      <c r="C1" s="92"/>
      <c r="D1" s="22" t="s">
        <v>2</v>
      </c>
      <c r="E1" s="22" t="s">
        <v>3</v>
      </c>
      <c r="F1" s="22" t="s">
        <v>4</v>
      </c>
      <c r="G1" s="22" t="s">
        <v>5</v>
      </c>
      <c r="H1" s="22" t="s">
        <v>27</v>
      </c>
      <c r="I1" s="22" t="s">
        <v>6</v>
      </c>
      <c r="J1" s="18" t="s">
        <v>7</v>
      </c>
      <c r="K1" s="23" t="s">
        <v>63</v>
      </c>
      <c r="L1" s="23" t="s">
        <v>65</v>
      </c>
      <c r="M1" s="23" t="s">
        <v>64</v>
      </c>
      <c r="N1" s="22" t="s">
        <v>8</v>
      </c>
      <c r="O1" s="22" t="s">
        <v>9</v>
      </c>
      <c r="Q1" s="15" t="s">
        <v>34</v>
      </c>
    </row>
    <row r="2" spans="1:26" ht="87" customHeight="1" thickBot="1" x14ac:dyDescent="0.3">
      <c r="A2" s="16" t="s">
        <v>20</v>
      </c>
      <c r="B2" s="98" t="s">
        <v>10</v>
      </c>
      <c r="C2" s="99"/>
      <c r="D2" s="24" t="s">
        <v>11</v>
      </c>
      <c r="E2" s="24" t="s">
        <v>21</v>
      </c>
      <c r="F2" s="16">
        <v>13</v>
      </c>
      <c r="G2" s="25">
        <f>(P29/53)</f>
        <v>255661.04258490569</v>
      </c>
      <c r="H2" s="25">
        <f>G2*F2</f>
        <v>3323593.5536037739</v>
      </c>
      <c r="I2" s="16">
        <v>0.72919999999999996</v>
      </c>
      <c r="J2" s="25">
        <f>SUM(H2*I2)</f>
        <v>2423564.419287872</v>
      </c>
      <c r="K2" s="25">
        <f>I2*Z32</f>
        <v>372856.06450582645</v>
      </c>
      <c r="L2" s="26">
        <v>0</v>
      </c>
      <c r="M2" s="25">
        <f>J2-K2</f>
        <v>2050708.3547820456</v>
      </c>
      <c r="N2" s="27">
        <v>21.45</v>
      </c>
      <c r="O2" s="28">
        <f t="shared" ref="O2:O7" si="0">SUM(J2*N2)</f>
        <v>51985456.79372485</v>
      </c>
      <c r="Q2" s="4">
        <v>17349597</v>
      </c>
      <c r="R2" s="1" t="s">
        <v>33</v>
      </c>
    </row>
    <row r="3" spans="1:26" ht="86.25" customHeight="1" thickBot="1" x14ac:dyDescent="0.3">
      <c r="A3" s="16" t="s">
        <v>20</v>
      </c>
      <c r="B3" s="100"/>
      <c r="C3" s="101"/>
      <c r="D3" s="24" t="s">
        <v>11</v>
      </c>
      <c r="E3" s="24" t="s">
        <v>22</v>
      </c>
      <c r="F3" s="16">
        <v>13</v>
      </c>
      <c r="G3" s="29">
        <f>R30</f>
        <v>25566.10425849057</v>
      </c>
      <c r="H3" s="25">
        <f t="shared" ref="H3:H7" si="1">G3*F3</f>
        <v>332359.35536037741</v>
      </c>
      <c r="I3" s="16">
        <v>0.20499999999999999</v>
      </c>
      <c r="J3" s="25">
        <f t="shared" ref="J3:J4" si="2">SUM(H3*I3)</f>
        <v>68133.667848877361</v>
      </c>
      <c r="K3" s="25">
        <f>I3*Z30</f>
        <v>15723.154118971701</v>
      </c>
      <c r="L3" s="26">
        <v>0</v>
      </c>
      <c r="M3" s="25">
        <f>J3-K3</f>
        <v>52410.513729905659</v>
      </c>
      <c r="N3" s="27">
        <v>21.45</v>
      </c>
      <c r="O3" s="28">
        <f t="shared" si="0"/>
        <v>1461467.1753584193</v>
      </c>
      <c r="Q3" s="4">
        <v>17349597</v>
      </c>
    </row>
    <row r="4" spans="1:26" ht="84" customHeight="1" thickBot="1" x14ac:dyDescent="0.3">
      <c r="A4" s="16" t="s">
        <v>20</v>
      </c>
      <c r="B4" s="100"/>
      <c r="C4" s="101"/>
      <c r="D4" s="24" t="s">
        <v>11</v>
      </c>
      <c r="E4" s="24" t="s">
        <v>30</v>
      </c>
      <c r="F4" s="16">
        <v>27</v>
      </c>
      <c r="G4" s="29">
        <f>R29</f>
        <v>76698.312775471699</v>
      </c>
      <c r="H4" s="25">
        <f>G4*F4</f>
        <v>2070854.4449377358</v>
      </c>
      <c r="I4" s="16">
        <v>0.20499999999999999</v>
      </c>
      <c r="J4" s="25">
        <f t="shared" si="2"/>
        <v>424525.16121223581</v>
      </c>
      <c r="K4" s="25">
        <f>I4*Z29</f>
        <v>78615.770594858492</v>
      </c>
      <c r="L4" s="26">
        <v>0</v>
      </c>
      <c r="M4" s="25">
        <f>J4-K4</f>
        <v>345909.3906173773</v>
      </c>
      <c r="N4" s="27">
        <v>21.45</v>
      </c>
      <c r="O4" s="28">
        <f t="shared" si="0"/>
        <v>9106064.7080024574</v>
      </c>
      <c r="Q4" s="4">
        <v>17349597</v>
      </c>
    </row>
    <row r="5" spans="1:26" ht="64.5" customHeight="1" thickBot="1" x14ac:dyDescent="0.3">
      <c r="A5" s="16" t="s">
        <v>96</v>
      </c>
      <c r="B5" s="100"/>
      <c r="C5" s="101"/>
      <c r="D5" s="24" t="s">
        <v>11</v>
      </c>
      <c r="E5" s="24" t="s">
        <v>23</v>
      </c>
      <c r="F5" s="16">
        <v>13</v>
      </c>
      <c r="G5" s="25">
        <f>Q36</f>
        <v>204211.53292452832</v>
      </c>
      <c r="H5" s="25">
        <f>G5*F5</f>
        <v>2654749.928018868</v>
      </c>
      <c r="I5" s="16">
        <v>0.4375</v>
      </c>
      <c r="J5" s="25">
        <f>SUM(H5*I5)</f>
        <v>1161453.0935082547</v>
      </c>
      <c r="K5" s="25">
        <f>I5*Z39</f>
        <v>178685.09130896229</v>
      </c>
      <c r="L5" s="26">
        <v>0</v>
      </c>
      <c r="M5" s="25">
        <f t="shared" ref="M5:M7" si="3">J5-K5</f>
        <v>982768.00219929242</v>
      </c>
      <c r="N5" s="27">
        <v>21.45</v>
      </c>
      <c r="O5" s="28">
        <f>SUM(J5*N5)</f>
        <v>24913168.855752062</v>
      </c>
      <c r="Q5" s="4">
        <v>13858145</v>
      </c>
      <c r="R5" s="1" t="s">
        <v>32</v>
      </c>
    </row>
    <row r="6" spans="1:26" ht="90" customHeight="1" thickBot="1" x14ac:dyDescent="0.3">
      <c r="A6" s="16" t="s">
        <v>96</v>
      </c>
      <c r="B6" s="100"/>
      <c r="C6" s="101"/>
      <c r="D6" s="24" t="s">
        <v>11</v>
      </c>
      <c r="E6" s="24" t="s">
        <v>24</v>
      </c>
      <c r="F6" s="16">
        <v>13</v>
      </c>
      <c r="G6" s="29">
        <f>R37</f>
        <v>20421.153292452833</v>
      </c>
      <c r="H6" s="25">
        <f t="shared" si="1"/>
        <v>265474.99280188681</v>
      </c>
      <c r="I6" s="16">
        <v>0.123</v>
      </c>
      <c r="J6" s="25">
        <f>SUM(H6*I6)</f>
        <v>32653.424114632078</v>
      </c>
      <c r="K6" s="25">
        <f>I6*Z37</f>
        <v>7535.405564915096</v>
      </c>
      <c r="L6" s="26">
        <v>0</v>
      </c>
      <c r="M6" s="25">
        <f t="shared" si="3"/>
        <v>25118.01854971698</v>
      </c>
      <c r="N6" s="27">
        <v>21.45</v>
      </c>
      <c r="O6" s="28">
        <f t="shared" si="0"/>
        <v>700415.94725885801</v>
      </c>
      <c r="Q6" s="4">
        <v>13858145</v>
      </c>
    </row>
    <row r="7" spans="1:26" ht="90" customHeight="1" thickBot="1" x14ac:dyDescent="0.3">
      <c r="A7" s="16" t="s">
        <v>96</v>
      </c>
      <c r="B7" s="100"/>
      <c r="C7" s="101"/>
      <c r="D7" s="24" t="s">
        <v>11</v>
      </c>
      <c r="E7" s="24" t="s">
        <v>31</v>
      </c>
      <c r="F7" s="16">
        <v>27</v>
      </c>
      <c r="G7" s="29">
        <f>R36</f>
        <v>61263.459877358495</v>
      </c>
      <c r="H7" s="25">
        <f t="shared" si="1"/>
        <v>1654113.4166886793</v>
      </c>
      <c r="I7" s="16">
        <v>0.123</v>
      </c>
      <c r="J7" s="25">
        <f t="shared" ref="J7" si="4">SUM(H7*I7)</f>
        <v>203455.95025270755</v>
      </c>
      <c r="K7" s="25">
        <f>I7*Z36</f>
        <v>37677.027824575474</v>
      </c>
      <c r="L7" s="26">
        <v>0</v>
      </c>
      <c r="M7" s="25">
        <f t="shared" si="3"/>
        <v>165778.92242813209</v>
      </c>
      <c r="N7" s="27">
        <v>21.45</v>
      </c>
      <c r="O7" s="28">
        <f t="shared" si="0"/>
        <v>4364130.1329205772</v>
      </c>
      <c r="Q7" s="4">
        <v>13858145</v>
      </c>
    </row>
    <row r="8" spans="1:26" ht="108.75" customHeight="1" thickBot="1" x14ac:dyDescent="0.3">
      <c r="A8" s="24" t="s">
        <v>95</v>
      </c>
      <c r="B8" s="102"/>
      <c r="C8" s="103"/>
      <c r="D8" s="24" t="s">
        <v>10</v>
      </c>
      <c r="E8" s="24" t="s">
        <v>14</v>
      </c>
      <c r="F8" s="50">
        <v>43</v>
      </c>
      <c r="G8" s="16">
        <f>H8/F8</f>
        <v>1</v>
      </c>
      <c r="H8" s="16">
        <v>43</v>
      </c>
      <c r="I8" s="16">
        <v>1</v>
      </c>
      <c r="J8" s="16">
        <f t="shared" ref="J8" si="5">SUM(H8*I8)</f>
        <v>43</v>
      </c>
      <c r="K8" s="16">
        <v>0</v>
      </c>
      <c r="L8" s="30">
        <f t="shared" ref="L8" si="6">J8-K8</f>
        <v>43</v>
      </c>
      <c r="M8" s="26">
        <v>0</v>
      </c>
      <c r="N8" s="31">
        <v>19.47</v>
      </c>
      <c r="O8" s="28">
        <f>SUM(J8*N8)</f>
        <v>837.20999999999992</v>
      </c>
      <c r="Q8" s="3"/>
    </row>
    <row r="9" spans="1:26" s="7" customFormat="1" ht="36.75" customHeight="1" thickBot="1" x14ac:dyDescent="0.35">
      <c r="A9" s="88" t="s">
        <v>15</v>
      </c>
      <c r="B9" s="89"/>
      <c r="C9" s="89"/>
      <c r="D9" s="89"/>
      <c r="E9" s="90"/>
      <c r="F9" s="51">
        <f>F2+F3+F4</f>
        <v>53</v>
      </c>
      <c r="G9" s="65">
        <f>SUM(H9/F9)</f>
        <v>194362.05078134566</v>
      </c>
      <c r="H9" s="32">
        <f>SUM(H2:H8)</f>
        <v>10301188.69141132</v>
      </c>
      <c r="I9" s="33">
        <f>SUM(J9/H9)</f>
        <v>0.41876999300296874</v>
      </c>
      <c r="J9" s="52">
        <f>SUM(J2:J8)</f>
        <v>4313828.7162245791</v>
      </c>
      <c r="K9" s="52">
        <f>SUM(K2:K8)</f>
        <v>691092.51391810947</v>
      </c>
      <c r="L9" s="26">
        <v>0</v>
      </c>
      <c r="M9" s="32">
        <f>J9-K9</f>
        <v>3622736.2023064699</v>
      </c>
      <c r="N9" s="34">
        <f>SUM(N2:N8)/7</f>
        <v>21.167142857142856</v>
      </c>
      <c r="O9" s="35">
        <f>SUM(O2:O8)</f>
        <v>92531540.823017225</v>
      </c>
      <c r="Q9" s="6">
        <f>O9/2</f>
        <v>46265770.411508612</v>
      </c>
      <c r="R9" s="7">
        <f>Q9*0.33</f>
        <v>15267704.235797843</v>
      </c>
      <c r="S9" s="8">
        <f>SUM(R9+Q9)</f>
        <v>61533474.647306457</v>
      </c>
      <c r="T9" s="8">
        <f>S9+3647.1+549.1</f>
        <v>61537670.84730646</v>
      </c>
      <c r="Z9" s="8"/>
    </row>
    <row r="10" spans="1:26" ht="73.5" customHeight="1" thickBot="1" x14ac:dyDescent="0.3">
      <c r="A10" s="16" t="s">
        <v>20</v>
      </c>
      <c r="B10" s="91" t="s">
        <v>103</v>
      </c>
      <c r="C10" s="92"/>
      <c r="D10" s="24" t="s">
        <v>16</v>
      </c>
      <c r="E10" s="24" t="s">
        <v>12</v>
      </c>
      <c r="F10" s="36">
        <f>U34+Z34</f>
        <v>5726807.3539018873</v>
      </c>
      <c r="G10" s="16">
        <v>1</v>
      </c>
      <c r="H10" s="36">
        <f>G10*F10</f>
        <v>5726807.3539018873</v>
      </c>
      <c r="I10" s="16">
        <v>6.6799999999999998E-2</v>
      </c>
      <c r="J10" s="25">
        <f>SUM(H10*I10)</f>
        <v>382550.73124064604</v>
      </c>
      <c r="K10" s="25">
        <f>I10*Z34</f>
        <v>64896.999049752456</v>
      </c>
      <c r="L10" s="25">
        <f>J10-K10</f>
        <v>317653.73219089361</v>
      </c>
      <c r="M10" s="26">
        <v>0</v>
      </c>
      <c r="N10" s="27">
        <v>7.25</v>
      </c>
      <c r="O10" s="27">
        <f>SUM(J10*N10)</f>
        <v>2773492.8014946836</v>
      </c>
      <c r="Q10" s="4"/>
      <c r="R10" s="1">
        <v>49748670.329999998</v>
      </c>
      <c r="S10" s="1">
        <f>R10*0.33</f>
        <v>16417061.208900001</v>
      </c>
    </row>
    <row r="11" spans="1:26" ht="65.25" customHeight="1" thickBot="1" x14ac:dyDescent="0.3">
      <c r="A11" s="16" t="s">
        <v>96</v>
      </c>
      <c r="B11" s="93"/>
      <c r="C11" s="94"/>
      <c r="D11" s="24" t="s">
        <v>17</v>
      </c>
      <c r="E11" s="24" t="s">
        <v>13</v>
      </c>
      <c r="F11" s="37">
        <f>U41+Z41</f>
        <v>4574338.3375094347</v>
      </c>
      <c r="G11" s="38">
        <v>1</v>
      </c>
      <c r="H11" s="37">
        <f>G11*F11</f>
        <v>4574338.3375094347</v>
      </c>
      <c r="I11" s="38">
        <v>0.1002</v>
      </c>
      <c r="J11" s="30">
        <f>SUM(H11*I11)</f>
        <v>458348.70141844533</v>
      </c>
      <c r="K11" s="30">
        <f>I11*Z41</f>
        <v>77755.583276343401</v>
      </c>
      <c r="L11" s="30">
        <f>J11-K11</f>
        <v>380593.11814210191</v>
      </c>
      <c r="M11" s="26">
        <v>0</v>
      </c>
      <c r="N11" s="39">
        <v>7.25</v>
      </c>
      <c r="O11" s="39">
        <f>SUM(J11*N11)</f>
        <v>3323028.0852837288</v>
      </c>
      <c r="Q11" s="4"/>
      <c r="S11" s="1">
        <f>SUM(R10+S10)</f>
        <v>66165731.538900003</v>
      </c>
    </row>
    <row r="12" spans="1:26" s="7" customFormat="1" ht="26.25" customHeight="1" thickBot="1" x14ac:dyDescent="0.35">
      <c r="A12" s="95" t="s">
        <v>18</v>
      </c>
      <c r="B12" s="96"/>
      <c r="C12" s="96"/>
      <c r="D12" s="96"/>
      <c r="E12" s="97"/>
      <c r="F12" s="40">
        <f>SUM(F10:F11)</f>
        <v>10301145.691411322</v>
      </c>
      <c r="G12" s="41">
        <v>1</v>
      </c>
      <c r="H12" s="40">
        <f>SUM(H10:H11)</f>
        <v>10301145.691411322</v>
      </c>
      <c r="I12" s="41">
        <f>SUM(J12/H12)</f>
        <v>8.1631641552278922E-2</v>
      </c>
      <c r="J12" s="53">
        <f>SUM(J10:J11)</f>
        <v>840899.43265909143</v>
      </c>
      <c r="K12" s="53">
        <f>SUM(K10:K11)</f>
        <v>142652.58232609584</v>
      </c>
      <c r="L12" s="42">
        <f>SUM(L10:L11)</f>
        <v>698246.85033299553</v>
      </c>
      <c r="M12" s="26">
        <v>0</v>
      </c>
      <c r="N12" s="43">
        <v>7.25</v>
      </c>
      <c r="O12" s="43">
        <f>SUM(O10:O11)</f>
        <v>6096520.8867784124</v>
      </c>
      <c r="Q12" s="9"/>
      <c r="Z12" s="8"/>
    </row>
    <row r="13" spans="1:26" s="11" customFormat="1" ht="26.25" customHeight="1" thickBot="1" x14ac:dyDescent="0.35">
      <c r="A13" s="85" t="s">
        <v>19</v>
      </c>
      <c r="B13" s="86"/>
      <c r="C13" s="86"/>
      <c r="D13" s="86"/>
      <c r="E13" s="87"/>
      <c r="F13" s="44">
        <f>SUM(F9+F12)</f>
        <v>10301198.691411322</v>
      </c>
      <c r="G13" s="17">
        <f>SUM(H13/F13)</f>
        <v>1.9999938842068878</v>
      </c>
      <c r="H13" s="44">
        <f>SUM(H12+H9)</f>
        <v>20602334.38282264</v>
      </c>
      <c r="I13" s="45">
        <f>SUM(J13/H13)</f>
        <v>0.25020116910545176</v>
      </c>
      <c r="J13" s="46">
        <f>SUM(J9+J12)</f>
        <v>5154728.1488836706</v>
      </c>
      <c r="K13" s="46">
        <f>SUM(K9+K12)</f>
        <v>833745.09624420526</v>
      </c>
      <c r="L13" s="46">
        <f>SUM(M9+L12)</f>
        <v>4320983.0526394658</v>
      </c>
      <c r="M13" s="47">
        <v>0</v>
      </c>
      <c r="N13" s="48">
        <v>7.25</v>
      </c>
      <c r="O13" s="49">
        <f>SUM(O9+O12)</f>
        <v>98628061.709795639</v>
      </c>
      <c r="Q13" s="10"/>
      <c r="Z13" s="12"/>
    </row>
    <row r="14" spans="1:26" ht="26.25" customHeight="1" x14ac:dyDescent="0.25">
      <c r="A14" s="13" t="s">
        <v>98</v>
      </c>
      <c r="Q14" s="1" t="s">
        <v>107</v>
      </c>
    </row>
    <row r="15" spans="1:26" ht="26.25" customHeight="1" thickBot="1" x14ac:dyDescent="0.3">
      <c r="A15" s="2"/>
      <c r="F15" s="55"/>
      <c r="G15" s="55"/>
      <c r="H15" s="58">
        <f>H9-Z43</f>
        <v>8553672.904475471</v>
      </c>
      <c r="I15" s="55" t="s">
        <v>105</v>
      </c>
      <c r="J15" s="55" t="s">
        <v>106</v>
      </c>
      <c r="K15" s="55"/>
      <c r="L15" s="55"/>
      <c r="Q15" s="19">
        <f>O9</f>
        <v>92531540.823017225</v>
      </c>
    </row>
    <row r="16" spans="1:26" ht="26.25" customHeight="1" thickTop="1" thickBot="1" x14ac:dyDescent="0.3">
      <c r="A16" s="74" t="s">
        <v>72</v>
      </c>
      <c r="B16" s="75"/>
      <c r="C16" s="75"/>
      <c r="D16" s="76"/>
      <c r="F16" s="55"/>
      <c r="G16" s="55"/>
      <c r="H16" s="64">
        <f>H12-Z43</f>
        <v>8553629.9044754729</v>
      </c>
      <c r="I16" s="55" t="s">
        <v>104</v>
      </c>
      <c r="J16" s="55"/>
      <c r="K16" s="58">
        <f>J12-K12</f>
        <v>698246.85033299564</v>
      </c>
      <c r="L16" s="55"/>
      <c r="Q16" s="19">
        <f>O9*0.33</f>
        <v>30535408.471595686</v>
      </c>
      <c r="R16" s="1" t="s">
        <v>108</v>
      </c>
    </row>
    <row r="17" spans="1:64" ht="26.25" customHeight="1" thickTop="1" thickBot="1" x14ac:dyDescent="0.35">
      <c r="A17" s="77" t="s">
        <v>66</v>
      </c>
      <c r="B17" s="78"/>
      <c r="C17" s="79">
        <f>F13</f>
        <v>10301198.691411322</v>
      </c>
      <c r="D17" s="80"/>
      <c r="F17" s="55"/>
      <c r="G17" s="55"/>
      <c r="H17" s="55"/>
      <c r="I17" s="55"/>
      <c r="J17" s="55"/>
      <c r="K17" s="58"/>
      <c r="L17" s="55">
        <f>10301746-1747151.79</f>
        <v>8554594.2100000009</v>
      </c>
    </row>
    <row r="18" spans="1:64" ht="26.25" customHeight="1" thickBot="1" x14ac:dyDescent="0.35">
      <c r="A18" s="81" t="s">
        <v>67</v>
      </c>
      <c r="B18" s="82"/>
      <c r="C18" s="83">
        <f>G12</f>
        <v>1</v>
      </c>
      <c r="D18" s="84"/>
      <c r="F18" s="55"/>
      <c r="G18" s="55"/>
      <c r="H18" s="55"/>
      <c r="I18" s="55"/>
      <c r="J18" s="55"/>
      <c r="K18" s="55"/>
      <c r="L18" s="58"/>
      <c r="Q18" s="19">
        <f>O9+Q16</f>
        <v>123066949.29461291</v>
      </c>
      <c r="R18" s="1" t="s">
        <v>109</v>
      </c>
    </row>
    <row r="19" spans="1:64" ht="26.25" customHeight="1" thickTop="1" thickBot="1" x14ac:dyDescent="0.35">
      <c r="A19" s="66" t="s">
        <v>68</v>
      </c>
      <c r="B19" s="67"/>
      <c r="C19" s="68">
        <f>H13</f>
        <v>20602334.38282264</v>
      </c>
      <c r="D19" s="69"/>
      <c r="F19" s="55"/>
      <c r="G19" s="55" t="s">
        <v>37</v>
      </c>
      <c r="H19" s="55"/>
      <c r="I19" s="55"/>
      <c r="J19" s="55"/>
      <c r="K19" s="55"/>
      <c r="L19" s="58">
        <f>H9-1747515.79</f>
        <v>8553672.901411321</v>
      </c>
      <c r="Q19" s="21"/>
      <c r="R19" s="21"/>
    </row>
    <row r="20" spans="1:64" ht="26.25" customHeight="1" thickTop="1" thickBot="1" x14ac:dyDescent="0.35">
      <c r="A20" s="66" t="s">
        <v>69</v>
      </c>
      <c r="B20" s="67"/>
      <c r="C20" s="71">
        <f>I13</f>
        <v>0.25020116910545176</v>
      </c>
      <c r="D20" s="69"/>
      <c r="F20" s="55"/>
      <c r="G20" s="55">
        <v>43.75</v>
      </c>
      <c r="H20" s="55" t="s">
        <v>35</v>
      </c>
      <c r="I20" s="55">
        <f>G20/60</f>
        <v>0.72916666666666663</v>
      </c>
      <c r="J20" s="55" t="s">
        <v>36</v>
      </c>
      <c r="K20" s="55"/>
      <c r="L20" s="55"/>
      <c r="Q20" s="5">
        <f>Q9</f>
        <v>46265770.411508612</v>
      </c>
      <c r="R20" s="1" t="s">
        <v>110</v>
      </c>
    </row>
    <row r="21" spans="1:64" ht="51" customHeight="1" thickTop="1" thickBot="1" x14ac:dyDescent="0.3">
      <c r="A21" s="72" t="s">
        <v>73</v>
      </c>
      <c r="B21" s="73"/>
      <c r="C21" s="70">
        <f>J13</f>
        <v>5154728.1488836706</v>
      </c>
      <c r="D21" s="69"/>
      <c r="F21" s="55"/>
      <c r="G21" s="55">
        <v>26.25</v>
      </c>
      <c r="H21" s="55" t="s">
        <v>35</v>
      </c>
      <c r="I21" s="55">
        <f>G21/60</f>
        <v>0.4375</v>
      </c>
      <c r="J21" s="55" t="s">
        <v>36</v>
      </c>
      <c r="K21" s="55"/>
      <c r="L21" s="55"/>
      <c r="Q21" s="19">
        <f>Q20*0.33</f>
        <v>15267704.235797843</v>
      </c>
      <c r="R21" s="1" t="s">
        <v>111</v>
      </c>
    </row>
    <row r="22" spans="1:64" ht="36" customHeight="1" thickTop="1" thickBot="1" x14ac:dyDescent="0.35">
      <c r="A22" s="66" t="s">
        <v>70</v>
      </c>
      <c r="B22" s="67"/>
      <c r="C22" s="68">
        <f>K9+K12</f>
        <v>833745.09624420526</v>
      </c>
      <c r="D22" s="69"/>
      <c r="E22" s="1" t="s">
        <v>86</v>
      </c>
      <c r="F22" s="55"/>
      <c r="G22" s="55" t="s">
        <v>38</v>
      </c>
      <c r="H22" s="55"/>
      <c r="I22" s="55"/>
      <c r="J22" s="55"/>
      <c r="K22" s="55"/>
      <c r="L22" s="55"/>
      <c r="Q22" s="20">
        <v>3647.2</v>
      </c>
      <c r="R22" s="1" t="s">
        <v>113</v>
      </c>
    </row>
    <row r="23" spans="1:64" ht="36.75" customHeight="1" thickTop="1" thickBot="1" x14ac:dyDescent="0.35">
      <c r="A23" s="66" t="s">
        <v>71</v>
      </c>
      <c r="B23" s="67"/>
      <c r="C23" s="70">
        <f>C21-C22</f>
        <v>4320983.0526394658</v>
      </c>
      <c r="D23" s="69"/>
      <c r="F23" s="55"/>
      <c r="G23" s="55">
        <v>12.3</v>
      </c>
      <c r="H23" s="55" t="s">
        <v>35</v>
      </c>
      <c r="I23" s="55">
        <f t="shared" ref="I23:I24" si="7">G23/60</f>
        <v>0.20500000000000002</v>
      </c>
      <c r="J23" s="55" t="s">
        <v>36</v>
      </c>
      <c r="K23" s="55"/>
      <c r="L23" s="55"/>
      <c r="Q23" s="20">
        <v>549.1</v>
      </c>
      <c r="R23" s="1" t="s">
        <v>113</v>
      </c>
    </row>
    <row r="24" spans="1:64" ht="26.25" customHeight="1" x14ac:dyDescent="0.25">
      <c r="F24" s="55"/>
      <c r="G24" s="55">
        <v>7.4</v>
      </c>
      <c r="H24" s="55" t="s">
        <v>35</v>
      </c>
      <c r="I24" s="55">
        <f t="shared" si="7"/>
        <v>0.12333333333333334</v>
      </c>
      <c r="J24" s="55" t="s">
        <v>36</v>
      </c>
      <c r="K24" s="55"/>
      <c r="L24" s="55"/>
      <c r="Q24" s="19">
        <f>SUM(Q20+Q21+Q22+Q23)</f>
        <v>61537670.947306462</v>
      </c>
      <c r="R24" s="1" t="s">
        <v>112</v>
      </c>
    </row>
    <row r="25" spans="1:64" ht="26.25" customHeight="1" x14ac:dyDescent="0.25">
      <c r="F25" s="55"/>
      <c r="G25" s="55"/>
      <c r="H25" s="55"/>
      <c r="I25" s="55"/>
      <c r="J25" s="55"/>
      <c r="K25" s="55"/>
      <c r="L25" s="55"/>
    </row>
    <row r="27" spans="1:64" ht="26.25" customHeight="1" x14ac:dyDescent="0.25">
      <c r="Y27" s="1" t="s">
        <v>87</v>
      </c>
    </row>
    <row r="28" spans="1:64" ht="86.25" customHeight="1" x14ac:dyDescent="0.25">
      <c r="A28" s="14"/>
      <c r="G28" s="54" t="s">
        <v>39</v>
      </c>
      <c r="H28" s="54"/>
      <c r="I28" s="55"/>
      <c r="J28" s="55"/>
      <c r="K28" s="55"/>
      <c r="L28" s="55"/>
      <c r="M28" s="55"/>
      <c r="N28" s="55"/>
      <c r="O28" s="55"/>
      <c r="P28" s="56" t="s">
        <v>47</v>
      </c>
      <c r="Q28" s="56" t="s">
        <v>48</v>
      </c>
      <c r="R28" s="56" t="s">
        <v>49</v>
      </c>
      <c r="S28" s="57"/>
      <c r="T28" s="57"/>
      <c r="U28" s="55"/>
      <c r="V28" s="55"/>
      <c r="W28" s="55"/>
      <c r="X28" s="55"/>
      <c r="Y28" s="57" t="s">
        <v>77</v>
      </c>
      <c r="Z28" s="58" t="s">
        <v>88</v>
      </c>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row>
    <row r="29" spans="1:64" ht="26.25" customHeight="1" thickBot="1" x14ac:dyDescent="0.3">
      <c r="G29" s="59" t="s">
        <v>25</v>
      </c>
      <c r="H29" s="59"/>
      <c r="I29" s="55"/>
      <c r="J29" s="55"/>
      <c r="K29" s="55"/>
      <c r="L29" s="55"/>
      <c r="M29" s="55"/>
      <c r="N29" s="55"/>
      <c r="O29" s="55" t="s">
        <v>40</v>
      </c>
      <c r="P29" s="60">
        <f>P45</f>
        <v>13550035.257000001</v>
      </c>
      <c r="Q29" s="55">
        <f>P29/53</f>
        <v>255661.04258490569</v>
      </c>
      <c r="R29" s="55">
        <f>Q29*0.3</f>
        <v>76698.312775471699</v>
      </c>
      <c r="S29" s="55" t="s">
        <v>59</v>
      </c>
      <c r="T29" s="55" t="s">
        <v>60</v>
      </c>
      <c r="U29" s="60">
        <f>R29*22</f>
        <v>1687362.8810603775</v>
      </c>
      <c r="V29" s="55" t="s">
        <v>44</v>
      </c>
      <c r="W29" s="55"/>
      <c r="X29" s="55"/>
      <c r="Y29" s="55" t="s">
        <v>74</v>
      </c>
      <c r="Z29" s="58">
        <f>R29*5</f>
        <v>383491.56387735851</v>
      </c>
      <c r="AA29" s="55" t="s">
        <v>78</v>
      </c>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row>
    <row r="30" spans="1:64" ht="26.25" customHeight="1" thickBot="1" x14ac:dyDescent="0.3">
      <c r="G30" s="59" t="s">
        <v>26</v>
      </c>
      <c r="H30" s="59"/>
      <c r="I30" s="55"/>
      <c r="J30" s="55"/>
      <c r="K30" s="55"/>
      <c r="L30" s="55"/>
      <c r="M30" s="55"/>
      <c r="N30" s="55"/>
      <c r="O30" s="55" t="s">
        <v>41</v>
      </c>
      <c r="P30" s="60">
        <f>P45</f>
        <v>13550035.257000001</v>
      </c>
      <c r="Q30" s="55">
        <f>P30/53</f>
        <v>255661.04258490569</v>
      </c>
      <c r="R30" s="55">
        <f>Q30*0.1</f>
        <v>25566.10425849057</v>
      </c>
      <c r="S30" s="55" t="s">
        <v>61</v>
      </c>
      <c r="T30" s="55" t="s">
        <v>62</v>
      </c>
      <c r="U30" s="60">
        <f>R30*10</f>
        <v>255661.04258490569</v>
      </c>
      <c r="V30" s="55" t="s">
        <v>45</v>
      </c>
      <c r="W30" s="55"/>
      <c r="X30" s="55"/>
      <c r="Y30" s="55" t="s">
        <v>75</v>
      </c>
      <c r="Z30" s="58">
        <f>R30*3</f>
        <v>76698.312775471713</v>
      </c>
      <c r="AA30" s="55" t="s">
        <v>79</v>
      </c>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64" ht="26.25" customHeight="1" x14ac:dyDescent="0.25">
      <c r="G31" s="55"/>
      <c r="H31" s="55"/>
      <c r="I31" s="55"/>
      <c r="J31" s="55"/>
      <c r="K31" s="55"/>
      <c r="L31" s="55"/>
      <c r="M31" s="55"/>
      <c r="N31" s="55"/>
      <c r="O31" s="55"/>
      <c r="P31" s="55"/>
      <c r="Q31" s="55"/>
      <c r="R31" s="55"/>
      <c r="S31" s="55"/>
      <c r="T31" s="55"/>
      <c r="U31" s="61"/>
      <c r="V31" s="55"/>
      <c r="W31" s="55"/>
      <c r="X31" s="55"/>
      <c r="Y31" s="55"/>
      <c r="Z31" s="58"/>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row>
    <row r="32" spans="1:64" ht="26.25" customHeight="1" thickBot="1" x14ac:dyDescent="0.3">
      <c r="G32" s="55"/>
      <c r="H32" s="55"/>
      <c r="I32" s="55"/>
      <c r="J32" s="55"/>
      <c r="K32" s="55"/>
      <c r="L32" s="55"/>
      <c r="M32" s="55"/>
      <c r="N32" s="55"/>
      <c r="O32" s="55"/>
      <c r="P32" s="60">
        <f>P45</f>
        <v>13550035.257000001</v>
      </c>
      <c r="Q32" s="55">
        <f>P32/53</f>
        <v>255661.04258490569</v>
      </c>
      <c r="R32" s="55" t="s">
        <v>53</v>
      </c>
      <c r="S32" s="55" t="s">
        <v>54</v>
      </c>
      <c r="T32" s="55" t="s">
        <v>52</v>
      </c>
      <c r="U32" s="55">
        <f>Q32*11</f>
        <v>2812271.4684339627</v>
      </c>
      <c r="V32" s="55" t="s">
        <v>55</v>
      </c>
      <c r="W32" s="55"/>
      <c r="X32" s="55"/>
      <c r="Y32" s="55" t="s">
        <v>76</v>
      </c>
      <c r="Z32" s="58">
        <f>Q32*2</f>
        <v>511322.08516981138</v>
      </c>
      <c r="AA32" s="55" t="s">
        <v>80</v>
      </c>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row>
    <row r="33" spans="7:64" ht="26.25" customHeight="1" x14ac:dyDescent="0.25">
      <c r="G33" s="55"/>
      <c r="H33" s="55"/>
      <c r="I33" s="55"/>
      <c r="J33" s="55"/>
      <c r="K33" s="55"/>
      <c r="L33" s="55"/>
      <c r="M33" s="55"/>
      <c r="N33" s="55"/>
      <c r="O33" s="55"/>
      <c r="P33" s="55"/>
      <c r="Q33" s="55"/>
      <c r="R33" s="55"/>
      <c r="S33" s="55"/>
      <c r="T33" s="55"/>
      <c r="U33" s="55"/>
      <c r="V33" s="55"/>
      <c r="W33" s="55"/>
      <c r="X33" s="55"/>
      <c r="Y33" s="55"/>
      <c r="Z33" s="58"/>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row>
    <row r="34" spans="7:64" ht="87" customHeight="1" x14ac:dyDescent="0.25">
      <c r="G34" s="55"/>
      <c r="H34" s="55"/>
      <c r="I34" s="55"/>
      <c r="J34" s="55"/>
      <c r="K34" s="55"/>
      <c r="L34" s="55"/>
      <c r="M34" s="55"/>
      <c r="N34" s="55"/>
      <c r="O34" s="55"/>
      <c r="P34" s="55"/>
      <c r="Q34" s="55"/>
      <c r="R34" s="55"/>
      <c r="S34" s="55"/>
      <c r="T34" s="55"/>
      <c r="U34" s="61">
        <f>SUM(U32+U30+U29)</f>
        <v>4755295.3920792462</v>
      </c>
      <c r="V34" s="57" t="s">
        <v>58</v>
      </c>
      <c r="W34" s="55"/>
      <c r="X34" s="55"/>
      <c r="Y34" s="55"/>
      <c r="Z34" s="58">
        <f>SUM(Z29:Z32)</f>
        <v>971511.96182264155</v>
      </c>
      <c r="AA34" s="55" t="s">
        <v>90</v>
      </c>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row>
    <row r="35" spans="7:64" ht="72" customHeight="1" x14ac:dyDescent="0.25">
      <c r="G35" s="55"/>
      <c r="H35" s="55"/>
      <c r="I35" s="55"/>
      <c r="J35" s="55"/>
      <c r="K35" s="55"/>
      <c r="L35" s="55"/>
      <c r="M35" s="55"/>
      <c r="N35" s="55"/>
      <c r="O35" s="55"/>
      <c r="P35" s="57" t="s">
        <v>46</v>
      </c>
      <c r="Q35" s="56" t="s">
        <v>48</v>
      </c>
      <c r="R35" s="56" t="s">
        <v>49</v>
      </c>
      <c r="S35" s="55" t="s">
        <v>50</v>
      </c>
      <c r="T35" s="55" t="s">
        <v>51</v>
      </c>
      <c r="U35" s="55"/>
      <c r="V35" s="55"/>
      <c r="W35" s="55"/>
      <c r="X35" s="55"/>
      <c r="Y35" s="55" t="s">
        <v>81</v>
      </c>
      <c r="Z35" s="58"/>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row>
    <row r="36" spans="7:64" ht="26.25" customHeight="1" thickBot="1" x14ac:dyDescent="0.3">
      <c r="G36" s="55"/>
      <c r="H36" s="55"/>
      <c r="I36" s="55"/>
      <c r="J36" s="55"/>
      <c r="K36" s="55"/>
      <c r="L36" s="55"/>
      <c r="M36" s="55"/>
      <c r="N36" s="55"/>
      <c r="O36" s="55" t="s">
        <v>84</v>
      </c>
      <c r="P36" s="60">
        <f>P42</f>
        <v>10823211.245000001</v>
      </c>
      <c r="Q36" s="55">
        <f>P36/53</f>
        <v>204211.53292452832</v>
      </c>
      <c r="R36" s="55">
        <f>Q36*0.3</f>
        <v>61263.459877358495</v>
      </c>
      <c r="S36" s="55" t="s">
        <v>28</v>
      </c>
      <c r="T36" s="55" t="s">
        <v>42</v>
      </c>
      <c r="U36" s="55">
        <f>22*R36</f>
        <v>1347796.1173018869</v>
      </c>
      <c r="V36" s="55" t="s">
        <v>44</v>
      </c>
      <c r="W36" s="55"/>
      <c r="X36" s="55"/>
      <c r="Y36" s="55" t="s">
        <v>82</v>
      </c>
      <c r="Z36" s="58">
        <f>R36*5</f>
        <v>306317.29938679247</v>
      </c>
      <c r="AA36" s="55" t="s">
        <v>78</v>
      </c>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row>
    <row r="37" spans="7:64" ht="26.25" customHeight="1" thickBot="1" x14ac:dyDescent="0.3">
      <c r="G37" s="55"/>
      <c r="H37" s="55"/>
      <c r="I37" s="55"/>
      <c r="J37" s="55"/>
      <c r="K37" s="55"/>
      <c r="L37" s="55"/>
      <c r="M37" s="55"/>
      <c r="N37" s="55"/>
      <c r="O37" s="55" t="s">
        <v>85</v>
      </c>
      <c r="P37" s="60">
        <f>P42</f>
        <v>10823211.245000001</v>
      </c>
      <c r="Q37" s="55">
        <f>P37/53</f>
        <v>204211.53292452832</v>
      </c>
      <c r="R37" s="55">
        <f>Q37*0.1</f>
        <v>20421.153292452833</v>
      </c>
      <c r="S37" s="55" t="s">
        <v>29</v>
      </c>
      <c r="T37" s="55" t="s">
        <v>43</v>
      </c>
      <c r="U37" s="55">
        <f>10*R37</f>
        <v>204211.53292452832</v>
      </c>
      <c r="V37" s="55" t="s">
        <v>45</v>
      </c>
      <c r="W37" s="55"/>
      <c r="X37" s="55"/>
      <c r="Y37" s="55" t="s">
        <v>75</v>
      </c>
      <c r="Z37" s="58">
        <f>R37*3</f>
        <v>61263.459877358502</v>
      </c>
      <c r="AA37" s="55" t="s">
        <v>79</v>
      </c>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row>
    <row r="38" spans="7:64" ht="26.25" customHeight="1" x14ac:dyDescent="0.25">
      <c r="G38" s="55"/>
      <c r="H38" s="55"/>
      <c r="I38" s="55"/>
      <c r="J38" s="55"/>
      <c r="K38" s="55"/>
      <c r="L38" s="55"/>
      <c r="M38" s="55"/>
      <c r="N38" s="55"/>
      <c r="O38" s="61"/>
      <c r="P38" s="55"/>
      <c r="Q38" s="55"/>
      <c r="R38" s="55"/>
      <c r="S38" s="55"/>
      <c r="T38" s="55"/>
      <c r="U38" s="55"/>
      <c r="V38" s="55"/>
      <c r="W38" s="55"/>
      <c r="X38" s="55"/>
      <c r="Y38" s="55"/>
      <c r="Z38" s="58"/>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row>
    <row r="39" spans="7:64" ht="26.25" customHeight="1" thickBot="1" x14ac:dyDescent="0.3">
      <c r="G39" s="55"/>
      <c r="H39" s="55"/>
      <c r="I39" s="55"/>
      <c r="J39" s="55"/>
      <c r="K39" s="55"/>
      <c r="L39" s="55"/>
      <c r="M39" s="55"/>
      <c r="N39" s="55"/>
      <c r="O39" s="55"/>
      <c r="P39" s="60">
        <f>P42</f>
        <v>10823211.245000001</v>
      </c>
      <c r="Q39" s="55">
        <f>P39/53</f>
        <v>204211.53292452832</v>
      </c>
      <c r="R39" s="55" t="s">
        <v>53</v>
      </c>
      <c r="S39" s="55" t="s">
        <v>54</v>
      </c>
      <c r="T39" s="55" t="s">
        <v>52</v>
      </c>
      <c r="U39" s="55">
        <f>Q39*11</f>
        <v>2246326.8621698115</v>
      </c>
      <c r="V39" s="55" t="s">
        <v>56</v>
      </c>
      <c r="W39" s="55"/>
      <c r="X39" s="55"/>
      <c r="Y39" s="55" t="s">
        <v>83</v>
      </c>
      <c r="Z39" s="58">
        <f>Q39*2</f>
        <v>408423.06584905664</v>
      </c>
      <c r="AA39" s="55" t="s">
        <v>80</v>
      </c>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row>
    <row r="40" spans="7:64" ht="26.25" customHeight="1" x14ac:dyDescent="0.25">
      <c r="G40" s="55"/>
      <c r="H40" s="55"/>
      <c r="I40" s="55"/>
      <c r="J40" s="55"/>
      <c r="K40" s="55"/>
      <c r="L40" s="55"/>
      <c r="M40" s="55"/>
      <c r="N40" s="55"/>
      <c r="O40" s="55"/>
      <c r="P40" s="55"/>
      <c r="Q40" s="55"/>
      <c r="R40" s="55"/>
      <c r="S40" s="55"/>
      <c r="T40" s="55"/>
      <c r="U40" s="55"/>
      <c r="V40" s="55"/>
      <c r="W40" s="55"/>
      <c r="X40" s="55"/>
      <c r="Y40" s="55"/>
      <c r="Z40" s="58"/>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row>
    <row r="41" spans="7:64" ht="26.25" customHeight="1" thickBot="1" x14ac:dyDescent="0.3">
      <c r="G41" s="55"/>
      <c r="H41" s="55"/>
      <c r="I41" s="55"/>
      <c r="J41" s="55"/>
      <c r="K41" s="55"/>
      <c r="L41" s="55"/>
      <c r="M41" s="55"/>
      <c r="N41" s="55"/>
      <c r="O41" s="62" t="s">
        <v>99</v>
      </c>
      <c r="P41" s="63">
        <v>13858145</v>
      </c>
      <c r="Q41" s="55"/>
      <c r="R41" s="55"/>
      <c r="S41" s="55"/>
      <c r="T41" s="55"/>
      <c r="U41" s="58">
        <f>SUM(U39+U37+U36)</f>
        <v>3798334.5123962266</v>
      </c>
      <c r="V41" s="57" t="s">
        <v>57</v>
      </c>
      <c r="W41" s="55"/>
      <c r="X41" s="55"/>
      <c r="Y41" s="55"/>
      <c r="Z41" s="58">
        <f>SUM(Z36:Z39)</f>
        <v>776003.82511320757</v>
      </c>
      <c r="AA41" s="55" t="s">
        <v>89</v>
      </c>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row>
    <row r="42" spans="7:64" ht="26.25" customHeight="1" x14ac:dyDescent="0.25">
      <c r="G42" s="55"/>
      <c r="H42" s="55"/>
      <c r="I42" s="55"/>
      <c r="J42" s="55"/>
      <c r="K42" s="55"/>
      <c r="L42" s="55"/>
      <c r="M42" s="55"/>
      <c r="N42" s="55"/>
      <c r="O42" s="62" t="s">
        <v>101</v>
      </c>
      <c r="P42" s="62">
        <f>P41*(1-0.219)</f>
        <v>10823211.245000001</v>
      </c>
      <c r="Q42" s="55"/>
      <c r="R42" s="55"/>
      <c r="S42" s="55"/>
      <c r="T42" s="55"/>
      <c r="U42" s="55"/>
      <c r="V42" s="55"/>
      <c r="W42" s="55"/>
      <c r="X42" s="55"/>
      <c r="Y42" s="55"/>
      <c r="Z42" s="58"/>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row>
    <row r="43" spans="7:64" ht="26.25" customHeight="1" x14ac:dyDescent="0.25">
      <c r="G43" s="55"/>
      <c r="H43" s="55"/>
      <c r="I43" s="55"/>
      <c r="J43" s="55"/>
      <c r="K43" s="55"/>
      <c r="L43" s="55"/>
      <c r="M43" s="55"/>
      <c r="N43" s="55"/>
      <c r="O43" s="62"/>
      <c r="P43" s="62"/>
      <c r="Q43" s="55"/>
      <c r="R43" s="55"/>
      <c r="S43" s="55"/>
      <c r="T43" s="55"/>
      <c r="U43" s="55"/>
      <c r="V43" s="55"/>
      <c r="W43" s="55"/>
      <c r="X43" s="55"/>
      <c r="Y43" s="55"/>
      <c r="Z43" s="58">
        <f>Z34+Z41</f>
        <v>1747515.7869358491</v>
      </c>
      <c r="AA43" s="55" t="s">
        <v>97</v>
      </c>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row>
    <row r="44" spans="7:64" ht="26.25" customHeight="1" thickBot="1" x14ac:dyDescent="0.3">
      <c r="G44" s="55"/>
      <c r="H44" s="55"/>
      <c r="I44" s="55"/>
      <c r="J44" s="55"/>
      <c r="K44" s="55"/>
      <c r="L44" s="55"/>
      <c r="M44" s="55"/>
      <c r="N44" s="55"/>
      <c r="O44" s="62" t="s">
        <v>99</v>
      </c>
      <c r="P44" s="60">
        <v>17349597</v>
      </c>
      <c r="Q44" s="55"/>
      <c r="R44" s="55"/>
      <c r="S44" s="55"/>
      <c r="T44" s="55"/>
      <c r="U44" s="55"/>
      <c r="V44" s="55"/>
      <c r="W44" s="55"/>
      <c r="X44" s="55"/>
      <c r="Y44" s="55"/>
      <c r="Z44" s="58"/>
      <c r="AA44" s="62" t="s">
        <v>102</v>
      </c>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row>
    <row r="45" spans="7:64" ht="26.25" customHeight="1" x14ac:dyDescent="0.25">
      <c r="G45" s="55"/>
      <c r="H45" s="55"/>
      <c r="I45" s="55"/>
      <c r="J45" s="55"/>
      <c r="K45" s="55"/>
      <c r="L45" s="55"/>
      <c r="M45" s="55"/>
      <c r="N45" s="55"/>
      <c r="O45" s="62" t="s">
        <v>100</v>
      </c>
      <c r="P45" s="62">
        <f>P44*(1-0.219)</f>
        <v>13550035.257000001</v>
      </c>
      <c r="Q45" s="55"/>
      <c r="R45" s="55"/>
      <c r="S45" s="55"/>
      <c r="T45" s="55"/>
      <c r="U45" s="55"/>
      <c r="V45" s="55"/>
      <c r="W45" s="55"/>
      <c r="X45" s="55"/>
      <c r="Y45" s="55"/>
      <c r="Z45" s="58">
        <f>H12</f>
        <v>10301145.691411322</v>
      </c>
      <c r="AA45" s="55" t="s">
        <v>92</v>
      </c>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row>
    <row r="46" spans="7:64" ht="26.25" customHeight="1" x14ac:dyDescent="0.25">
      <c r="G46" s="55"/>
      <c r="H46" s="55"/>
      <c r="I46" s="55"/>
      <c r="J46" s="55"/>
      <c r="K46" s="55"/>
      <c r="L46" s="55"/>
      <c r="M46" s="55"/>
      <c r="N46" s="55"/>
      <c r="O46" s="62"/>
      <c r="P46" s="62"/>
      <c r="Q46" s="55"/>
      <c r="R46" s="55"/>
      <c r="S46" s="55"/>
      <c r="T46" s="55"/>
      <c r="U46" s="55"/>
      <c r="V46" s="55"/>
      <c r="W46" s="55"/>
      <c r="X46" s="55"/>
      <c r="Y46" s="55"/>
      <c r="Z46" s="58"/>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row>
    <row r="47" spans="7:64" ht="26.25" customHeight="1" x14ac:dyDescent="0.25">
      <c r="G47" s="55"/>
      <c r="H47" s="55"/>
      <c r="I47" s="55"/>
      <c r="J47" s="55"/>
      <c r="K47" s="55"/>
      <c r="L47" s="55"/>
      <c r="M47" s="55"/>
      <c r="N47" s="55"/>
      <c r="O47" s="55"/>
      <c r="P47" s="55"/>
      <c r="Q47" s="55"/>
      <c r="R47" s="55"/>
      <c r="S47" s="55"/>
      <c r="T47" s="55"/>
      <c r="U47" s="55"/>
      <c r="V47" s="55"/>
      <c r="W47" s="55"/>
      <c r="X47" s="55"/>
      <c r="Y47" s="55"/>
      <c r="Z47" s="58">
        <f>Z45-Z43</f>
        <v>8553629.9044754729</v>
      </c>
      <c r="AA47" s="55" t="s">
        <v>114</v>
      </c>
      <c r="AB47" s="55"/>
      <c r="AC47" s="58">
        <f>Z47+Z43</f>
        <v>10301145.691411322</v>
      </c>
      <c r="AD47" s="55">
        <f>AC47*2</f>
        <v>20602291.382822644</v>
      </c>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row>
    <row r="49" spans="26:27" ht="26.25" customHeight="1" x14ac:dyDescent="0.25">
      <c r="Z49" s="5">
        <f>H13</f>
        <v>20602334.38282264</v>
      </c>
      <c r="AA49" s="1" t="s">
        <v>91</v>
      </c>
    </row>
    <row r="50" spans="26:27" ht="26.25" customHeight="1" x14ac:dyDescent="0.25">
      <c r="Z50" s="5">
        <f>Z43*2</f>
        <v>3495031.5738716982</v>
      </c>
      <c r="AA50" s="1" t="s">
        <v>93</v>
      </c>
    </row>
    <row r="51" spans="26:27" ht="26.25" customHeight="1" x14ac:dyDescent="0.25">
      <c r="Z51" s="5">
        <f>Z44*2</f>
        <v>0</v>
      </c>
      <c r="AA51" s="1" t="s">
        <v>94</v>
      </c>
    </row>
  </sheetData>
  <mergeCells count="21">
    <mergeCell ref="A13:E13"/>
    <mergeCell ref="A9:E9"/>
    <mergeCell ref="B1:C1"/>
    <mergeCell ref="B10:C11"/>
    <mergeCell ref="A12:E12"/>
    <mergeCell ref="B2:C8"/>
    <mergeCell ref="A16:D16"/>
    <mergeCell ref="A17:B17"/>
    <mergeCell ref="C17:D17"/>
    <mergeCell ref="A18:B18"/>
    <mergeCell ref="C18:D18"/>
    <mergeCell ref="A22:B22"/>
    <mergeCell ref="C22:D22"/>
    <mergeCell ref="A23:B23"/>
    <mergeCell ref="C23:D23"/>
    <mergeCell ref="A19:B19"/>
    <mergeCell ref="C19:D19"/>
    <mergeCell ref="A20:B20"/>
    <mergeCell ref="C20:D20"/>
    <mergeCell ref="A21:B21"/>
    <mergeCell ref="C21:D2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USDA FNCS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Ragland-Greene, Rachelle - FNS</dc:creator>
  <cp:lastModifiedBy>Ragland-Greene, Rachelle - FNS</cp:lastModifiedBy>
  <dcterms:created xsi:type="dcterms:W3CDTF">2019-03-28T18:33:56Z</dcterms:created>
  <dcterms:modified xsi:type="dcterms:W3CDTF">2019-07-10T17:24:02Z</dcterms:modified>
</cp:coreProperties>
</file>