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0584-AE62 BBCE Proposed Rule 9-27-18\BBCE ICR for Proposed Rule AE62 Jess Luna 7-2-19\"/>
    </mc:Choice>
  </mc:AlternateContent>
  <bookViews>
    <workbookView xWindow="0" yWindow="0" windowWidth="15525" windowHeight="6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1" l="1"/>
  <c r="G9" i="1"/>
  <c r="Z47" i="1" l="1"/>
  <c r="Q15" i="1"/>
  <c r="Q24" i="1"/>
  <c r="Q21" i="1"/>
  <c r="Q20" i="1"/>
  <c r="Q18" i="1"/>
  <c r="Q16" i="1"/>
  <c r="Q9" i="1"/>
  <c r="L13" i="1"/>
  <c r="J11" i="1"/>
  <c r="F10" i="1"/>
  <c r="J6" i="1"/>
  <c r="H5" i="1"/>
  <c r="G4" i="1"/>
  <c r="L17" i="1" l="1"/>
  <c r="N9" i="1" l="1"/>
  <c r="F9" i="1"/>
  <c r="P45" i="1"/>
  <c r="P30" i="1" s="1"/>
  <c r="P42" i="1"/>
  <c r="P39" i="1" s="1"/>
  <c r="P36" i="1" l="1"/>
  <c r="P37" i="1"/>
  <c r="P32" i="1"/>
  <c r="P29" i="1"/>
  <c r="Q29" i="1" s="1"/>
  <c r="R29" i="1" s="1"/>
  <c r="S11" i="1"/>
  <c r="S10" i="1"/>
  <c r="U29" i="1" l="1"/>
  <c r="Z29" i="1"/>
  <c r="G2" i="1" l="1"/>
  <c r="Z51" i="1"/>
  <c r="H2" i="1" l="1"/>
  <c r="J2" i="1" s="1"/>
  <c r="C18" i="1"/>
  <c r="Q32" i="1" l="1"/>
  <c r="Z32" i="1" s="1"/>
  <c r="K2" i="1" s="1"/>
  <c r="Q39" i="1"/>
  <c r="M2" i="1" l="1"/>
  <c r="Z39" i="1"/>
  <c r="K5" i="1" s="1"/>
  <c r="U39" i="1"/>
  <c r="U32" i="1"/>
  <c r="R36" i="1"/>
  <c r="Q37" i="1"/>
  <c r="R37" i="1" s="1"/>
  <c r="Q36" i="1"/>
  <c r="G5" i="1" s="1"/>
  <c r="J5" i="1" s="1"/>
  <c r="Q30" i="1"/>
  <c r="R30" i="1" s="1"/>
  <c r="I23" i="1"/>
  <c r="I24" i="1"/>
  <c r="I21" i="1"/>
  <c r="I20" i="1"/>
  <c r="O5" i="1" l="1"/>
  <c r="Z37" i="1"/>
  <c r="K6" i="1" s="1"/>
  <c r="G6" i="1"/>
  <c r="H6" i="1" s="1"/>
  <c r="U37" i="1"/>
  <c r="G7" i="1"/>
  <c r="H7" i="1" s="1"/>
  <c r="J7" i="1" s="1"/>
  <c r="Z36" i="1"/>
  <c r="M5" i="1"/>
  <c r="U36" i="1"/>
  <c r="U41" i="1" s="1"/>
  <c r="G3" i="1"/>
  <c r="Z30" i="1"/>
  <c r="K3" i="1" s="1"/>
  <c r="U30" i="1"/>
  <c r="U34" i="1" s="1"/>
  <c r="Z41" i="1" l="1"/>
  <c r="K11" i="1" s="1"/>
  <c r="K7" i="1"/>
  <c r="H3" i="1"/>
  <c r="J3" i="1" s="1"/>
  <c r="H4" i="1"/>
  <c r="K4" i="1"/>
  <c r="K9" i="1" s="1"/>
  <c r="Z34" i="1"/>
  <c r="Z43" i="1" s="1"/>
  <c r="Z50" i="1" s="1"/>
  <c r="J4" i="1" l="1"/>
  <c r="O4" i="1" s="1"/>
  <c r="M3" i="1"/>
  <c r="F11" i="1"/>
  <c r="H11" i="1" s="1"/>
  <c r="K10" i="1"/>
  <c r="M7" i="1"/>
  <c r="O7" i="1"/>
  <c r="K12" i="1" l="1"/>
  <c r="C22" i="1" s="1"/>
  <c r="F12" i="1"/>
  <c r="F13" i="1" s="1"/>
  <c r="C17" i="1" s="1"/>
  <c r="H10" i="1"/>
  <c r="O11" i="1"/>
  <c r="L11" i="1"/>
  <c r="M4" i="1"/>
  <c r="M6" i="1"/>
  <c r="O6" i="1"/>
  <c r="J10" i="1" l="1"/>
  <c r="H12" i="1"/>
  <c r="K13" i="1"/>
  <c r="O2" i="1"/>
  <c r="Z45" i="1" l="1"/>
  <c r="AC47" i="1" s="1"/>
  <c r="AD47" i="1" s="1"/>
  <c r="H16" i="1"/>
  <c r="O10" i="1"/>
  <c r="O12" i="1" s="1"/>
  <c r="J12" i="1"/>
  <c r="L10" i="1"/>
  <c r="L12" i="1" s="1"/>
  <c r="K16" i="1" l="1"/>
  <c r="I12" i="1"/>
  <c r="O3" i="1"/>
  <c r="J8" i="1"/>
  <c r="G8" i="1"/>
  <c r="H9" i="1"/>
  <c r="L8" i="1" l="1"/>
  <c r="O8" i="1"/>
  <c r="O9" i="1" s="1"/>
  <c r="J9" i="1"/>
  <c r="H13" i="1"/>
  <c r="C19" i="1" s="1"/>
  <c r="H15" i="1"/>
  <c r="L19" i="1"/>
  <c r="Z49" i="1"/>
  <c r="O13" i="1" l="1"/>
  <c r="R9" i="1"/>
  <c r="S9" i="1" s="1"/>
  <c r="T9" i="1" s="1"/>
  <c r="M9" i="1"/>
  <c r="I9" i="1"/>
  <c r="J13" i="1"/>
  <c r="C21" i="1" s="1"/>
  <c r="C23" i="1" s="1"/>
  <c r="I13" i="1" l="1"/>
  <c r="C20" i="1" s="1"/>
</calcChain>
</file>

<file path=xl/comments1.xml><?xml version="1.0" encoding="utf-8"?>
<comments xmlns="http://schemas.openxmlformats.org/spreadsheetml/2006/main">
  <authors>
    <author>Ragland-Greene, Rachelle - FNS</author>
  </authors>
  <commentList>
    <comment ref="K1" authorId="0" shapeId="0">
      <text>
        <r>
          <rPr>
            <b/>
            <sz val="9"/>
            <color indexed="81"/>
            <rFont val="Tahoma"/>
            <family val="2"/>
          </rPr>
          <t>Ragland-Greene, Rachelle - FNS:</t>
        </r>
        <r>
          <rPr>
            <sz val="9"/>
            <color indexed="81"/>
            <rFont val="Tahoma"/>
            <family val="2"/>
          </rPr>
          <t xml:space="preserve">
In order for OCIO and OMB to see how this burden reductions due to this rulemaking applies, the program needs to provide what we believe to be our best guest estimates on what is currently being collected in real time and then we can adequately reflect the reduce burden due to this rule making.  Essentially, show me what the estimates should be now in order to show me how this rulemaking will reduce burden on each affected public it directly impacts.</t>
        </r>
      </text>
    </comment>
    <comment ref="A8" authorId="0" shapeId="0">
      <text>
        <r>
          <rPr>
            <b/>
            <sz val="9"/>
            <color indexed="81"/>
            <rFont val="Tahoma"/>
            <family val="2"/>
          </rPr>
          <t>Ragland-Greene, Rachelle - FNS:</t>
        </r>
        <r>
          <rPr>
            <sz val="9"/>
            <color indexed="81"/>
            <rFont val="Tahoma"/>
            <family val="2"/>
          </rPr>
          <t xml:space="preserve">
verify against the Burden Narrative.
REVISED</t>
        </r>
      </text>
    </comment>
    <comment ref="F9" authorId="0" shapeId="0">
      <text>
        <r>
          <rPr>
            <b/>
            <sz val="9"/>
            <color indexed="81"/>
            <rFont val="Tahoma"/>
            <charset val="1"/>
          </rPr>
          <t>Ragland-Greene, Rachelle - FNS:</t>
        </r>
        <r>
          <rPr>
            <sz val="9"/>
            <color indexed="81"/>
            <rFont val="Tahoma"/>
            <charset val="1"/>
          </rPr>
          <t xml:space="preserve">
Will this rule be a mandate for all 53 SA to comply or just for 43?  What if the other 10 stop complying or using this "option" as it was for them, are they covered in this request, we want to be sure to include every entitiy who is required to submit this information to FNS?  Verify and I will re-evaluate the estimates during the next round of comments/responses.
RESPONSE: FOr Row 9 43, for rows 3-8, 53 SAs at initial and 53 at recert.
</t>
        </r>
      </text>
    </comment>
  </commentList>
</comments>
</file>

<file path=xl/sharedStrings.xml><?xml version="1.0" encoding="utf-8"?>
<sst xmlns="http://schemas.openxmlformats.org/spreadsheetml/2006/main" count="146" uniqueCount="115">
  <si>
    <t>Reg. Section</t>
  </si>
  <si>
    <t>Affected Public</t>
  </si>
  <si>
    <t>Respondent Type</t>
  </si>
  <si>
    <t>Description of Activity</t>
  </si>
  <si>
    <t xml:space="preserve"> Estimated Number of Respondents </t>
  </si>
  <si>
    <t xml:space="preserve">Estimated Frequency of Response </t>
  </si>
  <si>
    <t xml:space="preserve">Number of Burden Hours Per Response </t>
  </si>
  <si>
    <t xml:space="preserve">Estimated Total Burden Hours </t>
  </si>
  <si>
    <t>Hourly Wage Rate*</t>
  </si>
  <si>
    <t>Estimated Cost to Respondents</t>
  </si>
  <si>
    <t>State Agencies</t>
  </si>
  <si>
    <t>State Agency Eligibility Worker</t>
  </si>
  <si>
    <t>Verification of resources at initial application</t>
  </si>
  <si>
    <t>Verification of resources at  recertification</t>
  </si>
  <si>
    <t>Inform FNS of TANF programs that confer categorical eligibility</t>
  </si>
  <si>
    <t>Sub-Total State Agencies</t>
  </si>
  <si>
    <t>Applicants for initial certification</t>
  </si>
  <si>
    <t>Applicants for recertification</t>
  </si>
  <si>
    <t>Sub-Total Individual/Households</t>
  </si>
  <si>
    <t>Grand Total Reporting Burden with both affected public</t>
  </si>
  <si>
    <t>273.2(f) (1) &amp; (2)</t>
  </si>
  <si>
    <t>Verification of resources at initial application (States verifying all resources)</t>
  </si>
  <si>
    <t>Verification of resources at initial application (States verifying resources if questionable)</t>
  </si>
  <si>
    <t>Verification of resources at  recertification (States verifying all resources)</t>
  </si>
  <si>
    <t>Verification of resources at recertification (States verifying resources if questionable)</t>
  </si>
  <si>
    <t>22 verify assets for about 30% of households subject to the resource test</t>
  </si>
  <si>
    <t>10 verify assets for about 10% of households subject to the resource test</t>
  </si>
  <si>
    <t>Total Annual responses</t>
  </si>
  <si>
    <t>30% of households</t>
  </si>
  <si>
    <t>10% of households</t>
  </si>
  <si>
    <t>Verification of resources at initial application (States verifying resources if close to limit)</t>
  </si>
  <si>
    <t>Verification of resources at recertification (States verifying resources if close to limit)</t>
  </si>
  <si>
    <t>FY18 NDB Data on SNAP Total Recertifications (366B)</t>
  </si>
  <si>
    <t>FY18 NDB Data on SNAP Total Initial Applications (366B)</t>
  </si>
  <si>
    <t>Denominator</t>
  </si>
  <si>
    <t>min</t>
  </si>
  <si>
    <t>hours</t>
  </si>
  <si>
    <t>States that verify ALL resources- CW time (11)</t>
  </si>
  <si>
    <t>States that verify when questionable or close to limit (32)</t>
  </si>
  <si>
    <t>32 states verify resources some of the time – of those:</t>
  </si>
  <si>
    <t>When close to asset limit</t>
  </si>
  <si>
    <t>When questionable</t>
  </si>
  <si>
    <t>22 States</t>
  </si>
  <si>
    <t>10 States</t>
  </si>
  <si>
    <t xml:space="preserve">30% of households in 22 States   </t>
  </si>
  <si>
    <t xml:space="preserve">10% of households in 10 States </t>
  </si>
  <si>
    <t>Recertification Total Annual Respondents</t>
  </si>
  <si>
    <t>Initial App Total annual respondents*</t>
  </si>
  <si>
    <t># households per state (Total annual respondents/53), corresponds to "Estimated Frequency of Response"</t>
  </si>
  <si>
    <t># of households per State in States where not all households are subject to verif req.</t>
  </si>
  <si>
    <t>Percentage</t>
  </si>
  <si>
    <t xml:space="preserve">Number of States </t>
  </si>
  <si>
    <t>11 States</t>
  </si>
  <si>
    <t>all households</t>
  </si>
  <si>
    <t>100% of households</t>
  </si>
  <si>
    <t xml:space="preserve">100% of households in 11 States </t>
  </si>
  <si>
    <t>100% of households in 11 States would have resources verified.</t>
  </si>
  <si>
    <t>F12: Number of households that would have to participate in recert verification</t>
  </si>
  <si>
    <t>F11: Number of households that would have to participate in initial verification</t>
  </si>
  <si>
    <t xml:space="preserve">30% of households x </t>
  </si>
  <si>
    <t>22 States  =</t>
  </si>
  <si>
    <t xml:space="preserve">10% of households x </t>
  </si>
  <si>
    <t>10 States  =</t>
  </si>
  <si>
    <t>Previous Burden in Use Without Approval</t>
  </si>
  <si>
    <t>Difference Due to Adjustments</t>
  </si>
  <si>
    <t xml:space="preserve">Differences Due to Program Changes </t>
  </si>
  <si>
    <t>TOTAL NO. RESPONDENTS</t>
  </si>
  <si>
    <t>AVERAGE NO. RESPONSES PER RESPONDENT</t>
  </si>
  <si>
    <t>TOTAL ANNUAL RESPONSES</t>
  </si>
  <si>
    <t>AVERAGE HOURS PER RESPONSE</t>
  </si>
  <si>
    <t>CURRENT OMB INVENTORY</t>
  </si>
  <si>
    <t>DIFFERENCE</t>
  </si>
  <si>
    <t>SUMMARY OF BURDEN (OMB #0584-NEW)</t>
  </si>
  <si>
    <t>TOTAL ANNUAL BURDEN HOURS REQUESTED DUE TO RULEMAKING</t>
  </si>
  <si>
    <t>5 States</t>
  </si>
  <si>
    <t>3 States</t>
  </si>
  <si>
    <t xml:space="preserve">2 States </t>
  </si>
  <si>
    <t>Current Status Quo (10 States that verify resources)</t>
  </si>
  <si>
    <t>30% of households in 5 States</t>
  </si>
  <si>
    <t>10% of households in 3 states</t>
  </si>
  <si>
    <t>100% of households in 2 States</t>
  </si>
  <si>
    <t>Current Status Quo</t>
  </si>
  <si>
    <t xml:space="preserve">5 States </t>
  </si>
  <si>
    <t>2 States</t>
  </si>
  <si>
    <t>when close to limit</t>
  </si>
  <si>
    <t xml:space="preserve">when questionable </t>
  </si>
  <si>
    <t>ESTIMATE- NOT APPROVED</t>
  </si>
  <si>
    <t>Current Burden estimates without OMB approval (i.e. what States are doing now without OMB approval; the 10 States without Cat El)</t>
  </si>
  <si>
    <t>Number of responses</t>
  </si>
  <si>
    <t>&lt;-- This number is the total amount of recert applicants that are having their resources verified. Multiply this number by Cell K12</t>
  </si>
  <si>
    <t>&lt;-- This number is the total amount of initial applicants that are having their resources verified right now. Multiply this number by Cell K12</t>
  </si>
  <si>
    <t xml:space="preserve">Total number of responses requested </t>
  </si>
  <si>
    <t>Total number of responses requested for individuals</t>
  </si>
  <si>
    <t xml:space="preserve">Total current responses estimated </t>
  </si>
  <si>
    <t>Difference (increase in burden hours requested)</t>
  </si>
  <si>
    <t>273.2(j)(2)(ii)&amp;273.2(j)(2)(i)(B)</t>
  </si>
  <si>
    <t>273.2(f)(8)(i)</t>
  </si>
  <si>
    <t>Total number of  Responses not accounted for (Same # for States and individuals)</t>
  </si>
  <si>
    <t xml:space="preserve">Note: The column “Estimated number of respondents” for rows with the regulatory citation 273.2(f) (1) &amp; (2) and 273.2(f)(8)(i) includes both the 10 State Agencies collecting this information without OMB approval and the 43 that would collect this information as a result of the rulemaking, for a total of 53 State agencies affected at application and recertification.  </t>
  </si>
  <si>
    <t>Updated to reduce by 21.9%</t>
  </si>
  <si>
    <t>New Initial # (nonPA)</t>
  </si>
  <si>
    <t>New Recert # (nonPA)</t>
  </si>
  <si>
    <t>This number is the # not included in the burden</t>
  </si>
  <si>
    <t>Household</t>
  </si>
  <si>
    <t>hh</t>
  </si>
  <si>
    <t>sa</t>
  </si>
  <si>
    <t>inc resp</t>
  </si>
  <si>
    <t>State Cost</t>
  </si>
  <si>
    <t>State Fringe benefits (.33)</t>
  </si>
  <si>
    <t>Cost to States (Q15+Q16)</t>
  </si>
  <si>
    <t>Fed Gov Cost (50% of State cost)</t>
  </si>
  <si>
    <t>Fed Fringe Benefits (.33)</t>
  </si>
  <si>
    <t>Total fed cost (Q21 + Q22 + Q23)</t>
  </si>
  <si>
    <t>Q 14 numbers</t>
  </si>
  <si>
    <t>Difference ; increase in annual responses due to rulemaking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</si>
</sst>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1" formatCode="_(* #,##0_);_(* \(#,##0\);_(* &quot;-&quot;_);_(@_)"/>
    <numFmt numFmtId="44" formatCode="_(&quot;$&quot;* #,##0.00_);_(&quot;$&quot;* \(#,##0.00\);_(&quot;$&quot;* &quot;-&quot;??_);_(@_)"/>
    <numFmt numFmtId="164" formatCode="&quot;$&quot;#,##0.00"/>
    <numFmt numFmtId="165" formatCode="#,##0.00000000"/>
  </numFmts>
  <fonts count="21" x14ac:knownFonts="1">
    <font>
      <sz val="11"/>
      <color theme="1"/>
      <name val="Calibri"/>
      <family val="2"/>
      <scheme val="minor"/>
    </font>
    <font>
      <b/>
      <sz val="11"/>
      <color theme="1"/>
      <name val="Times New Roman"/>
      <family val="1"/>
    </font>
    <font>
      <sz val="11"/>
      <color rgb="FF000000"/>
      <name val="Times New Roman"/>
      <family val="1"/>
    </font>
    <font>
      <b/>
      <sz val="8"/>
      <name val="Arial"/>
      <family val="2"/>
    </font>
    <font>
      <sz val="9"/>
      <color indexed="81"/>
      <name val="Tahoma"/>
      <family val="2"/>
    </font>
    <font>
      <b/>
      <sz val="9"/>
      <color indexed="81"/>
      <name val="Tahoma"/>
      <family val="2"/>
    </font>
    <font>
      <b/>
      <sz val="11"/>
      <name val="Arial"/>
      <family val="2"/>
    </font>
    <font>
      <b/>
      <sz val="11"/>
      <color indexed="8"/>
      <name val="Arial Narrow"/>
      <family val="2"/>
    </font>
    <font>
      <b/>
      <sz val="11"/>
      <color indexed="8"/>
      <name val="Arial"/>
      <family val="2"/>
    </font>
    <font>
      <b/>
      <sz val="11"/>
      <name val="Times New Roman"/>
      <family val="1"/>
    </font>
    <font>
      <b/>
      <sz val="14"/>
      <color rgb="FFFF0000"/>
      <name val="Times New Roman"/>
      <family val="1"/>
    </font>
    <font>
      <b/>
      <sz val="14"/>
      <name val="Times New Roman"/>
      <family val="1"/>
    </font>
    <font>
      <sz val="14"/>
      <color theme="1"/>
      <name val="Calibri"/>
      <family val="2"/>
      <scheme val="minor"/>
    </font>
    <font>
      <sz val="9"/>
      <color indexed="81"/>
      <name val="Tahoma"/>
      <charset val="1"/>
    </font>
    <font>
      <b/>
      <sz val="9"/>
      <color indexed="81"/>
      <name val="Tahoma"/>
      <charset val="1"/>
    </font>
    <font>
      <sz val="11"/>
      <name val="Times New Roman"/>
      <family val="1"/>
    </font>
    <font>
      <sz val="8"/>
      <color theme="1"/>
      <name val="Times New Roman"/>
      <family val="1"/>
    </font>
    <font>
      <u/>
      <sz val="11"/>
      <color theme="1"/>
      <name val="Calibri"/>
      <family val="2"/>
      <scheme val="minor"/>
    </font>
    <font>
      <b/>
      <sz val="11"/>
      <color theme="0"/>
      <name val="Calibri"/>
      <family val="2"/>
      <scheme val="minor"/>
    </font>
    <font>
      <sz val="11"/>
      <color theme="0"/>
      <name val="Calibri"/>
      <family val="2"/>
      <scheme val="minor"/>
    </font>
    <font>
      <b/>
      <sz val="8"/>
      <color theme="0"/>
      <name val="Arial"/>
      <family val="2"/>
    </font>
  </fonts>
  <fills count="9">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indexed="47"/>
        <bgColor indexed="64"/>
      </patternFill>
    </fill>
    <fill>
      <patternFill patternType="solid">
        <fgColor rgb="FF92D050"/>
        <bgColor indexed="64"/>
      </patternFill>
    </fill>
    <fill>
      <patternFill patternType="solid">
        <fgColor theme="6" tint="0.39997558519241921"/>
        <bgColor indexed="64"/>
      </patternFill>
    </fill>
    <fill>
      <patternFill patternType="solid">
        <fgColor theme="5" tint="0.39997558519241921"/>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22"/>
      </top>
      <bottom style="medium">
        <color indexed="22"/>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0" fillId="0" borderId="0" xfId="0" applyFont="1"/>
    <xf numFmtId="0" fontId="0" fillId="0" borderId="0" xfId="0" applyFont="1" applyAlignment="1">
      <alignment vertical="center"/>
    </xf>
    <xf numFmtId="0" fontId="2" fillId="0" borderId="2" xfId="0" applyFont="1" applyBorder="1" applyAlignment="1">
      <alignment horizontal="center" vertical="center"/>
    </xf>
    <xf numFmtId="3" fontId="3" fillId="0" borderId="13" xfId="0" applyNumberFormat="1" applyFont="1" applyFill="1" applyBorder="1" applyAlignment="1">
      <alignment horizontal="right"/>
    </xf>
    <xf numFmtId="4" fontId="0" fillId="0" borderId="0" xfId="0" applyNumberFormat="1" applyFont="1"/>
    <xf numFmtId="4" fontId="10" fillId="0" borderId="2" xfId="0" applyNumberFormat="1" applyFont="1" applyBorder="1" applyAlignment="1">
      <alignment horizontal="center" vertical="center"/>
    </xf>
    <xf numFmtId="0" fontId="12" fillId="0" borderId="0" xfId="0" applyFont="1"/>
    <xf numFmtId="4" fontId="12" fillId="0" borderId="0" xfId="0" applyNumberFormat="1" applyFont="1"/>
    <xf numFmtId="3" fontId="10" fillId="0" borderId="6" xfId="0" applyNumberFormat="1" applyFont="1" applyBorder="1" applyAlignment="1">
      <alignment horizontal="center" vertical="center"/>
    </xf>
    <xf numFmtId="3" fontId="10" fillId="7" borderId="6" xfId="0" applyNumberFormat="1" applyFont="1" applyFill="1" applyBorder="1" applyAlignment="1">
      <alignment horizontal="center" vertical="center"/>
    </xf>
    <xf numFmtId="0" fontId="12" fillId="7" borderId="0" xfId="0" applyFont="1" applyFill="1"/>
    <xf numFmtId="4" fontId="12" fillId="7" borderId="0" xfId="0" applyNumberFormat="1" applyFont="1" applyFill="1"/>
    <xf numFmtId="0" fontId="16" fillId="0" borderId="0" xfId="0" applyFont="1" applyAlignment="1">
      <alignment vertical="center"/>
    </xf>
    <xf numFmtId="41" fontId="0" fillId="0" borderId="0" xfId="0" applyNumberFormat="1" applyFont="1"/>
    <xf numFmtId="0" fontId="1" fillId="0" borderId="2" xfId="0" applyFont="1" applyBorder="1" applyAlignment="1">
      <alignment vertical="center" wrapText="1"/>
    </xf>
    <xf numFmtId="0" fontId="15" fillId="0" borderId="2" xfId="0" applyFont="1" applyBorder="1" applyAlignment="1">
      <alignment horizontal="left" vertical="top"/>
    </xf>
    <xf numFmtId="0" fontId="10" fillId="7" borderId="6" xfId="0" applyFont="1" applyFill="1" applyBorder="1" applyAlignment="1">
      <alignment horizontal="left" vertical="top"/>
    </xf>
    <xf numFmtId="0" fontId="9" fillId="6" borderId="2" xfId="0" applyFont="1" applyFill="1" applyBorder="1" applyAlignment="1">
      <alignment horizontal="left" vertical="top" wrapText="1"/>
    </xf>
    <xf numFmtId="44" fontId="0" fillId="0" borderId="0" xfId="0" applyNumberFormat="1" applyFont="1"/>
    <xf numFmtId="8" fontId="0" fillId="0" borderId="0" xfId="0" applyNumberFormat="1" applyFont="1"/>
    <xf numFmtId="0" fontId="17" fillId="0" borderId="0" xfId="0" applyFont="1"/>
    <xf numFmtId="0" fontId="9" fillId="0" borderId="2" xfId="0" applyFont="1" applyBorder="1" applyAlignment="1">
      <alignment horizontal="left" vertical="top" wrapText="1"/>
    </xf>
    <xf numFmtId="0" fontId="9" fillId="2" borderId="2" xfId="0" applyFont="1" applyFill="1" applyBorder="1" applyAlignment="1">
      <alignment horizontal="left" vertical="top" wrapText="1"/>
    </xf>
    <xf numFmtId="0" fontId="15" fillId="0" borderId="2" xfId="0" applyFont="1" applyBorder="1" applyAlignment="1">
      <alignment horizontal="left" vertical="top" wrapText="1"/>
    </xf>
    <xf numFmtId="4" fontId="15" fillId="0" borderId="2" xfId="0" applyNumberFormat="1" applyFont="1" applyBorder="1" applyAlignment="1">
      <alignment horizontal="left" vertical="top"/>
    </xf>
    <xf numFmtId="2" fontId="15" fillId="0" borderId="2" xfId="0" applyNumberFormat="1" applyFont="1" applyBorder="1" applyAlignment="1">
      <alignment horizontal="left" vertical="top"/>
    </xf>
    <xf numFmtId="8" fontId="15" fillId="0" borderId="2" xfId="0" applyNumberFormat="1" applyFont="1" applyBorder="1" applyAlignment="1">
      <alignment horizontal="left" vertical="top"/>
    </xf>
    <xf numFmtId="44" fontId="15" fillId="0" borderId="2" xfId="0" applyNumberFormat="1" applyFont="1" applyBorder="1" applyAlignment="1">
      <alignment horizontal="left" vertical="top"/>
    </xf>
    <xf numFmtId="4" fontId="15" fillId="4" borderId="2" xfId="0" applyNumberFormat="1" applyFont="1" applyFill="1" applyBorder="1" applyAlignment="1">
      <alignment horizontal="left" vertical="top"/>
    </xf>
    <xf numFmtId="4" fontId="15" fillId="0" borderId="1" xfId="0" applyNumberFormat="1" applyFont="1" applyBorder="1" applyAlignment="1">
      <alignment horizontal="left" vertical="top"/>
    </xf>
    <xf numFmtId="164" fontId="15" fillId="0" borderId="2" xfId="0" applyNumberFormat="1" applyFont="1" applyBorder="1" applyAlignment="1">
      <alignment horizontal="left" vertical="top"/>
    </xf>
    <xf numFmtId="4" fontId="11" fillId="0" borderId="2" xfId="0" applyNumberFormat="1" applyFont="1" applyBorder="1" applyAlignment="1">
      <alignment horizontal="left" vertical="top"/>
    </xf>
    <xf numFmtId="0" fontId="11" fillId="0" borderId="2" xfId="0" applyFont="1" applyBorder="1" applyAlignment="1">
      <alignment horizontal="left" vertical="top"/>
    </xf>
    <xf numFmtId="8" fontId="11" fillId="0" borderId="2" xfId="0" applyNumberFormat="1" applyFont="1" applyBorder="1" applyAlignment="1">
      <alignment horizontal="left" vertical="top"/>
    </xf>
    <xf numFmtId="44" fontId="11" fillId="4" borderId="2" xfId="0" applyNumberFormat="1" applyFont="1" applyFill="1" applyBorder="1" applyAlignment="1">
      <alignment horizontal="left" vertical="top"/>
    </xf>
    <xf numFmtId="3" fontId="15" fillId="0" borderId="2" xfId="0" applyNumberFormat="1" applyFont="1" applyBorder="1" applyAlignment="1">
      <alignment horizontal="left" vertical="top"/>
    </xf>
    <xf numFmtId="3" fontId="15" fillId="0" borderId="1" xfId="0" applyNumberFormat="1" applyFont="1" applyBorder="1" applyAlignment="1">
      <alignment horizontal="left" vertical="top"/>
    </xf>
    <xf numFmtId="0" fontId="15" fillId="0" borderId="1" xfId="0" applyFont="1" applyBorder="1" applyAlignment="1">
      <alignment horizontal="left" vertical="top"/>
    </xf>
    <xf numFmtId="8" fontId="15" fillId="0" borderId="1" xfId="0" applyNumberFormat="1" applyFont="1" applyBorder="1" applyAlignment="1">
      <alignment horizontal="left" vertical="top"/>
    </xf>
    <xf numFmtId="3" fontId="11" fillId="0" borderId="6" xfId="0" applyNumberFormat="1" applyFont="1" applyBorder="1" applyAlignment="1">
      <alignment horizontal="left" vertical="top"/>
    </xf>
    <xf numFmtId="0" fontId="11" fillId="0" borderId="6" xfId="0" applyFont="1" applyBorder="1" applyAlignment="1">
      <alignment horizontal="left" vertical="top"/>
    </xf>
    <xf numFmtId="4" fontId="11" fillId="0" borderId="6" xfId="0" applyNumberFormat="1" applyFont="1" applyBorder="1" applyAlignment="1">
      <alignment horizontal="left" vertical="top"/>
    </xf>
    <xf numFmtId="8" fontId="11" fillId="0" borderId="6" xfId="0" applyNumberFormat="1" applyFont="1" applyBorder="1" applyAlignment="1">
      <alignment horizontal="left" vertical="top"/>
    </xf>
    <xf numFmtId="3" fontId="11" fillId="7" borderId="6" xfId="0" applyNumberFormat="1" applyFont="1" applyFill="1" applyBorder="1" applyAlignment="1">
      <alignment horizontal="left" vertical="top"/>
    </xf>
    <xf numFmtId="0" fontId="11" fillId="7" borderId="6" xfId="0" applyFont="1" applyFill="1" applyBorder="1" applyAlignment="1">
      <alignment horizontal="left" vertical="top"/>
    </xf>
    <xf numFmtId="4" fontId="11" fillId="7" borderId="6" xfId="0" applyNumberFormat="1" applyFont="1" applyFill="1" applyBorder="1" applyAlignment="1">
      <alignment horizontal="left" vertical="top"/>
    </xf>
    <xf numFmtId="2" fontId="15" fillId="0" borderId="1" xfId="0" applyNumberFormat="1" applyFont="1" applyBorder="1" applyAlignment="1">
      <alignment horizontal="left" vertical="top"/>
    </xf>
    <xf numFmtId="8" fontId="11" fillId="7" borderId="6" xfId="0" applyNumberFormat="1" applyFont="1" applyFill="1" applyBorder="1" applyAlignment="1">
      <alignment horizontal="left" vertical="top"/>
    </xf>
    <xf numFmtId="44" fontId="11" fillId="7" borderId="6" xfId="0" applyNumberFormat="1" applyFont="1" applyFill="1" applyBorder="1" applyAlignment="1">
      <alignment horizontal="left" vertical="top"/>
    </xf>
    <xf numFmtId="0" fontId="15" fillId="4" borderId="2" xfId="0" applyFont="1" applyFill="1" applyBorder="1" applyAlignment="1">
      <alignment horizontal="left" vertical="top"/>
    </xf>
    <xf numFmtId="0" fontId="11" fillId="4" borderId="2" xfId="0" applyFont="1" applyFill="1" applyBorder="1" applyAlignment="1">
      <alignment horizontal="left" vertical="top"/>
    </xf>
    <xf numFmtId="4" fontId="11" fillId="4" borderId="2" xfId="0" applyNumberFormat="1" applyFont="1" applyFill="1" applyBorder="1" applyAlignment="1">
      <alignment horizontal="left" vertical="top"/>
    </xf>
    <xf numFmtId="4" fontId="11" fillId="4" borderId="6" xfId="0" applyNumberFormat="1" applyFont="1" applyFill="1" applyBorder="1" applyAlignment="1">
      <alignment horizontal="left" vertical="top"/>
    </xf>
    <xf numFmtId="0" fontId="19" fillId="0" borderId="0" xfId="0" applyFont="1" applyAlignment="1">
      <alignment vertical="center"/>
    </xf>
    <xf numFmtId="0" fontId="19" fillId="0" borderId="0" xfId="0" applyFont="1"/>
    <xf numFmtId="0" fontId="18" fillId="0" borderId="0" xfId="0" applyFont="1" applyAlignment="1">
      <alignment wrapText="1"/>
    </xf>
    <xf numFmtId="0" fontId="19" fillId="0" borderId="0" xfId="0" applyFont="1" applyAlignment="1">
      <alignment wrapText="1"/>
    </xf>
    <xf numFmtId="4" fontId="19" fillId="0" borderId="0" xfId="0" applyNumberFormat="1" applyFont="1"/>
    <xf numFmtId="0" fontId="19" fillId="0" borderId="0" xfId="0" applyFont="1" applyAlignment="1">
      <alignment horizontal="left" vertical="center" indent="5"/>
    </xf>
    <xf numFmtId="3" fontId="20" fillId="0" borderId="13" xfId="0" applyNumberFormat="1" applyFont="1" applyFill="1" applyBorder="1" applyAlignment="1">
      <alignment horizontal="right"/>
    </xf>
    <xf numFmtId="3" fontId="19" fillId="0" borderId="0" xfId="0" applyNumberFormat="1" applyFont="1"/>
    <xf numFmtId="0" fontId="19" fillId="8" borderId="0" xfId="0" applyFont="1" applyFill="1"/>
    <xf numFmtId="3" fontId="20" fillId="8" borderId="13" xfId="0" applyNumberFormat="1" applyFont="1" applyFill="1" applyBorder="1" applyAlignment="1">
      <alignment horizontal="right"/>
    </xf>
    <xf numFmtId="165" fontId="19" fillId="0" borderId="0" xfId="0" applyNumberFormat="1" applyFont="1"/>
    <xf numFmtId="165" fontId="10" fillId="0" borderId="2" xfId="0" applyNumberFormat="1" applyFont="1" applyBorder="1" applyAlignment="1">
      <alignment horizontal="left" vertical="top"/>
    </xf>
    <xf numFmtId="37" fontId="7" fillId="0" borderId="10" xfId="0" applyNumberFormat="1" applyFont="1" applyBorder="1" applyAlignment="1" applyProtection="1">
      <alignment horizontal="left"/>
    </xf>
    <xf numFmtId="0" fontId="0" fillId="0" borderId="11" xfId="0" applyFont="1" applyBorder="1" applyAlignment="1">
      <alignment horizontal="left"/>
    </xf>
    <xf numFmtId="41" fontId="6" fillId="0" borderId="14" xfId="0" applyNumberFormat="1" applyFont="1" applyBorder="1" applyAlignment="1"/>
    <xf numFmtId="0" fontId="0" fillId="0" borderId="16" xfId="0" applyFont="1" applyBorder="1" applyAlignment="1"/>
    <xf numFmtId="37" fontId="6" fillId="0" borderId="14" xfId="0" applyNumberFormat="1" applyFont="1" applyBorder="1" applyAlignment="1"/>
    <xf numFmtId="39" fontId="6" fillId="0" borderId="14" xfId="0" applyNumberFormat="1" applyFont="1" applyBorder="1" applyAlignment="1"/>
    <xf numFmtId="37" fontId="8" fillId="0" borderId="10" xfId="0" applyNumberFormat="1" applyFont="1" applyBorder="1" applyAlignment="1" applyProtection="1">
      <alignment horizontal="left" wrapText="1"/>
    </xf>
    <xf numFmtId="0" fontId="0" fillId="0" borderId="11" xfId="0" applyFont="1" applyBorder="1" applyAlignment="1">
      <alignment horizontal="left" wrapText="1"/>
    </xf>
    <xf numFmtId="0" fontId="6" fillId="5" borderId="14" xfId="0" applyFont="1" applyFill="1" applyBorder="1" applyAlignment="1">
      <alignment horizontal="center"/>
    </xf>
    <xf numFmtId="0" fontId="6" fillId="5" borderId="15" xfId="0" applyFont="1" applyFill="1" applyBorder="1" applyAlignment="1">
      <alignment horizontal="center"/>
    </xf>
    <xf numFmtId="0" fontId="0" fillId="5" borderId="16" xfId="0" applyFont="1" applyFill="1" applyBorder="1" applyAlignment="1"/>
    <xf numFmtId="37" fontId="7" fillId="0" borderId="8" xfId="0" applyNumberFormat="1" applyFont="1" applyBorder="1" applyAlignment="1" applyProtection="1">
      <alignment horizontal="left"/>
    </xf>
    <xf numFmtId="37" fontId="7" fillId="0" borderId="17" xfId="0" applyNumberFormat="1" applyFont="1" applyBorder="1" applyAlignment="1" applyProtection="1">
      <alignment horizontal="left"/>
    </xf>
    <xf numFmtId="41" fontId="6" fillId="0" borderId="18" xfId="0" applyNumberFormat="1" applyFont="1" applyBorder="1" applyAlignment="1"/>
    <xf numFmtId="0" fontId="0" fillId="0" borderId="19" xfId="0" applyFont="1" applyBorder="1" applyAlignment="1"/>
    <xf numFmtId="37" fontId="7" fillId="0" borderId="10" xfId="0" applyNumberFormat="1" applyFont="1" applyBorder="1" applyAlignment="1" applyProtection="1">
      <alignment wrapText="1"/>
    </xf>
    <xf numFmtId="0" fontId="0" fillId="0" borderId="20" xfId="0" applyFont="1" applyBorder="1" applyAlignment="1">
      <alignment wrapText="1"/>
    </xf>
    <xf numFmtId="39" fontId="6" fillId="0" borderId="9" xfId="0" applyNumberFormat="1" applyFont="1" applyBorder="1" applyAlignment="1"/>
    <xf numFmtId="0" fontId="0" fillId="0" borderId="4" xfId="0" applyFont="1" applyBorder="1" applyAlignment="1"/>
    <xf numFmtId="0" fontId="11" fillId="7" borderId="10" xfId="0" applyFont="1" applyFill="1" applyBorder="1" applyAlignment="1">
      <alignment horizontal="left" vertical="top"/>
    </xf>
    <xf numFmtId="0" fontId="11" fillId="7" borderId="11" xfId="0" applyFont="1" applyFill="1" applyBorder="1" applyAlignment="1">
      <alignment horizontal="left" vertical="top"/>
    </xf>
    <xf numFmtId="0" fontId="11" fillId="7" borderId="12" xfId="0" applyFont="1" applyFill="1" applyBorder="1" applyAlignment="1">
      <alignment horizontal="left" vertical="top"/>
    </xf>
    <xf numFmtId="0" fontId="11" fillId="2" borderId="9" xfId="0" applyFont="1" applyFill="1" applyBorder="1" applyAlignment="1">
      <alignment horizontal="left" vertical="top"/>
    </xf>
    <xf numFmtId="0" fontId="11" fillId="2" borderId="3" xfId="0" applyFont="1" applyFill="1" applyBorder="1" applyAlignment="1">
      <alignment horizontal="left" vertical="top"/>
    </xf>
    <xf numFmtId="0" fontId="11" fillId="2" borderId="4" xfId="0" applyFont="1" applyFill="1" applyBorder="1" applyAlignment="1">
      <alignment horizontal="left" vertical="top"/>
    </xf>
    <xf numFmtId="0" fontId="9" fillId="0" borderId="9" xfId="0" applyFont="1" applyBorder="1" applyAlignment="1">
      <alignment horizontal="left" vertical="top" wrapText="1"/>
    </xf>
    <xf numFmtId="0" fontId="9" fillId="0" borderId="4" xfId="0" applyFont="1" applyBorder="1" applyAlignment="1">
      <alignment horizontal="left" vertical="top" wrapText="1"/>
    </xf>
    <xf numFmtId="0" fontId="9" fillId="0" borderId="7" xfId="0" applyFont="1" applyBorder="1" applyAlignment="1">
      <alignment horizontal="left" vertical="top" wrapText="1"/>
    </xf>
    <xf numFmtId="0" fontId="9" fillId="0" borderId="5" xfId="0" applyFont="1" applyBorder="1" applyAlignment="1">
      <alignment horizontal="left" vertical="top" wrapText="1"/>
    </xf>
    <xf numFmtId="0" fontId="11" fillId="3" borderId="10" xfId="0" applyFont="1" applyFill="1" applyBorder="1" applyAlignment="1">
      <alignment horizontal="left" vertical="top" wrapText="1"/>
    </xf>
    <xf numFmtId="0" fontId="11" fillId="3" borderId="11" xfId="0" applyFont="1" applyFill="1" applyBorder="1" applyAlignment="1">
      <alignment horizontal="left" vertical="top" wrapText="1"/>
    </xf>
    <xf numFmtId="0" fontId="11" fillId="3" borderId="12" xfId="0" applyFont="1" applyFill="1" applyBorder="1" applyAlignment="1">
      <alignment horizontal="left" vertical="top" wrapText="1"/>
    </xf>
    <xf numFmtId="0" fontId="15" fillId="0" borderId="9" xfId="0" applyFont="1" applyBorder="1" applyAlignment="1">
      <alignment horizontal="left" vertical="top" wrapText="1"/>
    </xf>
    <xf numFmtId="0" fontId="15" fillId="0" borderId="4" xfId="0" applyFont="1" applyBorder="1" applyAlignment="1">
      <alignment horizontal="left" vertical="top" wrapText="1"/>
    </xf>
    <xf numFmtId="0" fontId="15" fillId="0" borderId="7" xfId="0" applyFont="1" applyBorder="1" applyAlignment="1">
      <alignment horizontal="left" vertical="top" wrapText="1"/>
    </xf>
    <xf numFmtId="0" fontId="15" fillId="0" borderId="5" xfId="0" applyFont="1" applyBorder="1" applyAlignment="1">
      <alignment horizontal="left" vertical="top" wrapText="1"/>
    </xf>
    <xf numFmtId="0" fontId="15" fillId="0" borderId="8" xfId="0" applyFont="1" applyBorder="1" applyAlignment="1">
      <alignment horizontal="left" vertical="top" wrapText="1"/>
    </xf>
    <xf numFmtId="0" fontId="15" fillId="0" borderId="6"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51"/>
  <sheetViews>
    <sheetView tabSelected="1" topLeftCell="A7" zoomScaleNormal="100" workbookViewId="0">
      <pane xSplit="1" topLeftCell="B1" activePane="topRight" state="frozen"/>
      <selection pane="topRight" activeCell="G13" sqref="G13"/>
    </sheetView>
  </sheetViews>
  <sheetFormatPr defaultColWidth="14.140625" defaultRowHeight="26.25" customHeight="1" x14ac:dyDescent="0.25"/>
  <cols>
    <col min="1" max="1" width="66.7109375" style="1" customWidth="1"/>
    <col min="2" max="2" width="18.5703125" style="1" customWidth="1"/>
    <col min="3" max="3" width="0.42578125" style="1" customWidth="1"/>
    <col min="4" max="4" width="17.5703125" style="1" customWidth="1"/>
    <col min="5" max="5" width="20.28515625" style="1" customWidth="1"/>
    <col min="6" max="6" width="20.7109375" style="1" customWidth="1"/>
    <col min="7" max="7" width="22.7109375" style="1" customWidth="1"/>
    <col min="8" max="8" width="20" style="1" customWidth="1"/>
    <col min="9" max="9" width="14.140625" style="1"/>
    <col min="10" max="10" width="17.85546875" style="1" customWidth="1"/>
    <col min="11" max="11" width="19.28515625" style="1" customWidth="1"/>
    <col min="12" max="13" width="17.85546875" style="1" customWidth="1"/>
    <col min="14" max="14" width="14.140625" style="1"/>
    <col min="15" max="15" width="24.7109375" style="1" customWidth="1"/>
    <col min="16" max="16" width="14.140625" style="1"/>
    <col min="17" max="17" width="26.7109375" style="1" hidden="1" customWidth="1"/>
    <col min="18" max="18" width="35.28515625" style="1" hidden="1" customWidth="1"/>
    <col min="19" max="19" width="27.42578125" style="1" hidden="1" customWidth="1"/>
    <col min="20" max="20" width="18" style="1" hidden="1" customWidth="1"/>
    <col min="21" max="21" width="0" style="1" hidden="1" customWidth="1"/>
    <col min="22" max="22" width="31.140625" style="1" hidden="1" customWidth="1"/>
    <col min="23" max="25" width="0" style="1" hidden="1" customWidth="1"/>
    <col min="26" max="26" width="0" style="5" hidden="1" customWidth="1"/>
    <col min="27" max="27" width="0" style="1" hidden="1" customWidth="1"/>
    <col min="28" max="28" width="43.85546875" style="1" hidden="1" customWidth="1"/>
    <col min="29" max="63" width="0" style="1" hidden="1" customWidth="1"/>
    <col min="64" max="16384" width="14.140625" style="1"/>
  </cols>
  <sheetData>
    <row r="1" spans="1:26" ht="67.5" customHeight="1" thickBot="1" x14ac:dyDescent="0.3">
      <c r="A1" s="22" t="s">
        <v>0</v>
      </c>
      <c r="B1" s="91" t="s">
        <v>1</v>
      </c>
      <c r="C1" s="92"/>
      <c r="D1" s="22" t="s">
        <v>2</v>
      </c>
      <c r="E1" s="22" t="s">
        <v>3</v>
      </c>
      <c r="F1" s="22" t="s">
        <v>4</v>
      </c>
      <c r="G1" s="22" t="s">
        <v>5</v>
      </c>
      <c r="H1" s="22" t="s">
        <v>27</v>
      </c>
      <c r="I1" s="22" t="s">
        <v>6</v>
      </c>
      <c r="J1" s="18" t="s">
        <v>7</v>
      </c>
      <c r="K1" s="23" t="s">
        <v>63</v>
      </c>
      <c r="L1" s="23" t="s">
        <v>65</v>
      </c>
      <c r="M1" s="23" t="s">
        <v>64</v>
      </c>
      <c r="N1" s="22" t="s">
        <v>8</v>
      </c>
      <c r="O1" s="22" t="s">
        <v>9</v>
      </c>
      <c r="Q1" s="15" t="s">
        <v>34</v>
      </c>
    </row>
    <row r="2" spans="1:26" ht="87" customHeight="1" thickBot="1" x14ac:dyDescent="0.3">
      <c r="A2" s="16" t="s">
        <v>20</v>
      </c>
      <c r="B2" s="98" t="s">
        <v>10</v>
      </c>
      <c r="C2" s="99"/>
      <c r="D2" s="24" t="s">
        <v>11</v>
      </c>
      <c r="E2" s="24" t="s">
        <v>21</v>
      </c>
      <c r="F2" s="16">
        <v>13</v>
      </c>
      <c r="G2" s="25">
        <f>(P29/53)</f>
        <v>255661.04258490569</v>
      </c>
      <c r="H2" s="25">
        <f>G2*F2</f>
        <v>3323593.5536037739</v>
      </c>
      <c r="I2" s="16">
        <v>0.72919999999999996</v>
      </c>
      <c r="J2" s="25">
        <f>SUM(H2*I2)</f>
        <v>2423564.419287872</v>
      </c>
      <c r="K2" s="25">
        <f>I2*Z32</f>
        <v>372856.06450582645</v>
      </c>
      <c r="L2" s="26">
        <v>0</v>
      </c>
      <c r="M2" s="25">
        <f>J2-K2</f>
        <v>2050708.3547820456</v>
      </c>
      <c r="N2" s="27">
        <v>21.45</v>
      </c>
      <c r="O2" s="28">
        <f t="shared" ref="O2:O7" si="0">SUM(J2*N2)</f>
        <v>51985456.79372485</v>
      </c>
      <c r="Q2" s="4">
        <v>17349597</v>
      </c>
      <c r="R2" s="1" t="s">
        <v>33</v>
      </c>
    </row>
    <row r="3" spans="1:26" ht="86.25" customHeight="1" thickBot="1" x14ac:dyDescent="0.3">
      <c r="A3" s="16" t="s">
        <v>20</v>
      </c>
      <c r="B3" s="100"/>
      <c r="C3" s="101"/>
      <c r="D3" s="24" t="s">
        <v>11</v>
      </c>
      <c r="E3" s="24" t="s">
        <v>22</v>
      </c>
      <c r="F3" s="16">
        <v>13</v>
      </c>
      <c r="G3" s="29">
        <f>R30</f>
        <v>25566.10425849057</v>
      </c>
      <c r="H3" s="25">
        <f t="shared" ref="H3:H7" si="1">G3*F3</f>
        <v>332359.35536037741</v>
      </c>
      <c r="I3" s="16">
        <v>0.20499999999999999</v>
      </c>
      <c r="J3" s="25">
        <f t="shared" ref="J3:J4" si="2">SUM(H3*I3)</f>
        <v>68133.667848877361</v>
      </c>
      <c r="K3" s="25">
        <f>I3*Z30</f>
        <v>15723.154118971701</v>
      </c>
      <c r="L3" s="26">
        <v>0</v>
      </c>
      <c r="M3" s="25">
        <f>J3-K3</f>
        <v>52410.513729905659</v>
      </c>
      <c r="N3" s="27">
        <v>21.45</v>
      </c>
      <c r="O3" s="28">
        <f t="shared" si="0"/>
        <v>1461467.1753584193</v>
      </c>
      <c r="Q3" s="4">
        <v>17349597</v>
      </c>
    </row>
    <row r="4" spans="1:26" ht="84" customHeight="1" thickBot="1" x14ac:dyDescent="0.3">
      <c r="A4" s="16" t="s">
        <v>20</v>
      </c>
      <c r="B4" s="100"/>
      <c r="C4" s="101"/>
      <c r="D4" s="24" t="s">
        <v>11</v>
      </c>
      <c r="E4" s="24" t="s">
        <v>30</v>
      </c>
      <c r="F4" s="16">
        <v>27</v>
      </c>
      <c r="G4" s="29">
        <f>R29</f>
        <v>76698.312775471699</v>
      </c>
      <c r="H4" s="25">
        <f>G4*F4</f>
        <v>2070854.4449377358</v>
      </c>
      <c r="I4" s="16">
        <v>0.20499999999999999</v>
      </c>
      <c r="J4" s="25">
        <f t="shared" si="2"/>
        <v>424525.16121223581</v>
      </c>
      <c r="K4" s="25">
        <f>I4*Z29</f>
        <v>78615.770594858492</v>
      </c>
      <c r="L4" s="26">
        <v>0</v>
      </c>
      <c r="M4" s="25">
        <f>J4-K4</f>
        <v>345909.3906173773</v>
      </c>
      <c r="N4" s="27">
        <v>21.45</v>
      </c>
      <c r="O4" s="28">
        <f t="shared" si="0"/>
        <v>9106064.7080024574</v>
      </c>
      <c r="Q4" s="4">
        <v>17349597</v>
      </c>
    </row>
    <row r="5" spans="1:26" ht="64.5" customHeight="1" thickBot="1" x14ac:dyDescent="0.3">
      <c r="A5" s="16" t="s">
        <v>96</v>
      </c>
      <c r="B5" s="100"/>
      <c r="C5" s="101"/>
      <c r="D5" s="24" t="s">
        <v>11</v>
      </c>
      <c r="E5" s="24" t="s">
        <v>23</v>
      </c>
      <c r="F5" s="16">
        <v>13</v>
      </c>
      <c r="G5" s="25">
        <f>Q36</f>
        <v>204211.53292452832</v>
      </c>
      <c r="H5" s="25">
        <f>G5*F5</f>
        <v>2654749.928018868</v>
      </c>
      <c r="I5" s="16">
        <v>0.4375</v>
      </c>
      <c r="J5" s="25">
        <f>SUM(H5*I5)</f>
        <v>1161453.0935082547</v>
      </c>
      <c r="K5" s="25">
        <f>I5*Z39</f>
        <v>178685.09130896229</v>
      </c>
      <c r="L5" s="26">
        <v>0</v>
      </c>
      <c r="M5" s="25">
        <f t="shared" ref="M5:M7" si="3">J5-K5</f>
        <v>982768.00219929242</v>
      </c>
      <c r="N5" s="27">
        <v>21.45</v>
      </c>
      <c r="O5" s="28">
        <f>SUM(J5*N5)</f>
        <v>24913168.855752062</v>
      </c>
      <c r="Q5" s="4">
        <v>13858145</v>
      </c>
      <c r="R5" s="1" t="s">
        <v>32</v>
      </c>
    </row>
    <row r="6" spans="1:26" ht="90" customHeight="1" thickBot="1" x14ac:dyDescent="0.3">
      <c r="A6" s="16" t="s">
        <v>96</v>
      </c>
      <c r="B6" s="100"/>
      <c r="C6" s="101"/>
      <c r="D6" s="24" t="s">
        <v>11</v>
      </c>
      <c r="E6" s="24" t="s">
        <v>24</v>
      </c>
      <c r="F6" s="16">
        <v>13</v>
      </c>
      <c r="G6" s="29">
        <f>R37</f>
        <v>20421.153292452833</v>
      </c>
      <c r="H6" s="25">
        <f t="shared" si="1"/>
        <v>265474.99280188681</v>
      </c>
      <c r="I6" s="16">
        <v>0.123</v>
      </c>
      <c r="J6" s="25">
        <f>SUM(H6*I6)</f>
        <v>32653.424114632078</v>
      </c>
      <c r="K6" s="25">
        <f>I6*Z37</f>
        <v>7535.405564915096</v>
      </c>
      <c r="L6" s="26">
        <v>0</v>
      </c>
      <c r="M6" s="25">
        <f t="shared" si="3"/>
        <v>25118.01854971698</v>
      </c>
      <c r="N6" s="27">
        <v>21.45</v>
      </c>
      <c r="O6" s="28">
        <f t="shared" si="0"/>
        <v>700415.94725885801</v>
      </c>
      <c r="Q6" s="4">
        <v>13858145</v>
      </c>
    </row>
    <row r="7" spans="1:26" ht="90" customHeight="1" thickBot="1" x14ac:dyDescent="0.3">
      <c r="A7" s="16" t="s">
        <v>96</v>
      </c>
      <c r="B7" s="100"/>
      <c r="C7" s="101"/>
      <c r="D7" s="24" t="s">
        <v>11</v>
      </c>
      <c r="E7" s="24" t="s">
        <v>31</v>
      </c>
      <c r="F7" s="16">
        <v>27</v>
      </c>
      <c r="G7" s="29">
        <f>R36</f>
        <v>61263.459877358495</v>
      </c>
      <c r="H7" s="25">
        <f t="shared" si="1"/>
        <v>1654113.4166886793</v>
      </c>
      <c r="I7" s="16">
        <v>0.123</v>
      </c>
      <c r="J7" s="25">
        <f t="shared" ref="J7" si="4">SUM(H7*I7)</f>
        <v>203455.95025270755</v>
      </c>
      <c r="K7" s="25">
        <f>I7*Z36</f>
        <v>37677.027824575474</v>
      </c>
      <c r="L7" s="26">
        <v>0</v>
      </c>
      <c r="M7" s="25">
        <f t="shared" si="3"/>
        <v>165778.92242813209</v>
      </c>
      <c r="N7" s="27">
        <v>21.45</v>
      </c>
      <c r="O7" s="28">
        <f t="shared" si="0"/>
        <v>4364130.1329205772</v>
      </c>
      <c r="Q7" s="4">
        <v>13858145</v>
      </c>
    </row>
    <row r="8" spans="1:26" ht="108.75" customHeight="1" thickBot="1" x14ac:dyDescent="0.3">
      <c r="A8" s="24" t="s">
        <v>95</v>
      </c>
      <c r="B8" s="102"/>
      <c r="C8" s="103"/>
      <c r="D8" s="24" t="s">
        <v>10</v>
      </c>
      <c r="E8" s="24" t="s">
        <v>14</v>
      </c>
      <c r="F8" s="50">
        <v>43</v>
      </c>
      <c r="G8" s="16">
        <f>H8/F8</f>
        <v>1</v>
      </c>
      <c r="H8" s="16">
        <v>43</v>
      </c>
      <c r="I8" s="16">
        <v>1</v>
      </c>
      <c r="J8" s="16">
        <f t="shared" ref="J8" si="5">SUM(H8*I8)</f>
        <v>43</v>
      </c>
      <c r="K8" s="16">
        <v>0</v>
      </c>
      <c r="L8" s="30">
        <f t="shared" ref="L8" si="6">J8-K8</f>
        <v>43</v>
      </c>
      <c r="M8" s="26">
        <v>0</v>
      </c>
      <c r="N8" s="31">
        <v>19.47</v>
      </c>
      <c r="O8" s="28">
        <f>SUM(J8*N8)</f>
        <v>837.20999999999992</v>
      </c>
      <c r="Q8" s="3"/>
    </row>
    <row r="9" spans="1:26" s="7" customFormat="1" ht="36.75" customHeight="1" thickBot="1" x14ac:dyDescent="0.35">
      <c r="A9" s="88" t="s">
        <v>15</v>
      </c>
      <c r="B9" s="89"/>
      <c r="C9" s="89"/>
      <c r="D9" s="89"/>
      <c r="E9" s="90"/>
      <c r="F9" s="51">
        <f>F2+F3+F4</f>
        <v>53</v>
      </c>
      <c r="G9" s="65">
        <f>SUM(H9/F9)</f>
        <v>194362.05078134566</v>
      </c>
      <c r="H9" s="32">
        <f>SUM(H2:H8)</f>
        <v>10301188.69141132</v>
      </c>
      <c r="I9" s="33">
        <f>SUM(J9/H9)</f>
        <v>0.41876999300296874</v>
      </c>
      <c r="J9" s="52">
        <f>SUM(J2:J8)</f>
        <v>4313828.7162245791</v>
      </c>
      <c r="K9" s="52">
        <f>SUM(K2:K8)</f>
        <v>691092.51391810947</v>
      </c>
      <c r="L9" s="26">
        <v>0</v>
      </c>
      <c r="M9" s="32">
        <f>J9-K9</f>
        <v>3622736.2023064699</v>
      </c>
      <c r="N9" s="34">
        <f>SUM(N2:N8)/7</f>
        <v>21.167142857142856</v>
      </c>
      <c r="O9" s="35">
        <f>SUM(O2:O8)</f>
        <v>92531540.823017225</v>
      </c>
      <c r="Q9" s="6">
        <f>O9/2</f>
        <v>46265770.411508612</v>
      </c>
      <c r="R9" s="7">
        <f>Q9*0.33</f>
        <v>15267704.235797843</v>
      </c>
      <c r="S9" s="8">
        <f>SUM(R9+Q9)</f>
        <v>61533474.647306457</v>
      </c>
      <c r="T9" s="8">
        <f>S9+3647.1+549.1</f>
        <v>61537670.84730646</v>
      </c>
      <c r="Z9" s="8"/>
    </row>
    <row r="10" spans="1:26" ht="73.5" customHeight="1" thickBot="1" x14ac:dyDescent="0.3">
      <c r="A10" s="16" t="s">
        <v>20</v>
      </c>
      <c r="B10" s="91" t="s">
        <v>103</v>
      </c>
      <c r="C10" s="92"/>
      <c r="D10" s="24" t="s">
        <v>16</v>
      </c>
      <c r="E10" s="24" t="s">
        <v>12</v>
      </c>
      <c r="F10" s="36">
        <f>U34+Z34</f>
        <v>5726807.3539018873</v>
      </c>
      <c r="G10" s="16">
        <v>1</v>
      </c>
      <c r="H10" s="36">
        <f>G10*F10</f>
        <v>5726807.3539018873</v>
      </c>
      <c r="I10" s="16">
        <v>6.6799999999999998E-2</v>
      </c>
      <c r="J10" s="25">
        <f>SUM(H10*I10)</f>
        <v>382550.73124064604</v>
      </c>
      <c r="K10" s="25">
        <f>I10*Z34</f>
        <v>64896.999049752456</v>
      </c>
      <c r="L10" s="25">
        <f>J10-K10</f>
        <v>317653.73219089361</v>
      </c>
      <c r="M10" s="26">
        <v>0</v>
      </c>
      <c r="N10" s="27">
        <v>7.25</v>
      </c>
      <c r="O10" s="27">
        <f>SUM(J10*N10)</f>
        <v>2773492.8014946836</v>
      </c>
      <c r="Q10" s="4"/>
      <c r="R10" s="1">
        <v>49748670.329999998</v>
      </c>
      <c r="S10" s="1">
        <f>R10*0.33</f>
        <v>16417061.208900001</v>
      </c>
    </row>
    <row r="11" spans="1:26" ht="65.25" customHeight="1" thickBot="1" x14ac:dyDescent="0.3">
      <c r="A11" s="16" t="s">
        <v>96</v>
      </c>
      <c r="B11" s="93"/>
      <c r="C11" s="94"/>
      <c r="D11" s="24" t="s">
        <v>17</v>
      </c>
      <c r="E11" s="24" t="s">
        <v>13</v>
      </c>
      <c r="F11" s="37">
        <f>U41+Z41</f>
        <v>4574338.3375094347</v>
      </c>
      <c r="G11" s="38">
        <v>1</v>
      </c>
      <c r="H11" s="37">
        <f>G11*F11</f>
        <v>4574338.3375094347</v>
      </c>
      <c r="I11" s="38">
        <v>0.1002</v>
      </c>
      <c r="J11" s="30">
        <f>SUM(H11*I11)</f>
        <v>458348.70141844533</v>
      </c>
      <c r="K11" s="30">
        <f>I11*Z41</f>
        <v>77755.583276343401</v>
      </c>
      <c r="L11" s="30">
        <f>J11-K11</f>
        <v>380593.11814210191</v>
      </c>
      <c r="M11" s="26">
        <v>0</v>
      </c>
      <c r="N11" s="39">
        <v>7.25</v>
      </c>
      <c r="O11" s="39">
        <f>SUM(J11*N11)</f>
        <v>3323028.0852837288</v>
      </c>
      <c r="Q11" s="4"/>
      <c r="S11" s="1">
        <f>SUM(R10+S10)</f>
        <v>66165731.538900003</v>
      </c>
    </row>
    <row r="12" spans="1:26" s="7" customFormat="1" ht="26.25" customHeight="1" thickBot="1" x14ac:dyDescent="0.35">
      <c r="A12" s="95" t="s">
        <v>18</v>
      </c>
      <c r="B12" s="96"/>
      <c r="C12" s="96"/>
      <c r="D12" s="96"/>
      <c r="E12" s="97"/>
      <c r="F12" s="40">
        <f>SUM(F10:F11)</f>
        <v>10301145.691411322</v>
      </c>
      <c r="G12" s="41">
        <v>1</v>
      </c>
      <c r="H12" s="40">
        <f>SUM(H10:H11)</f>
        <v>10301145.691411322</v>
      </c>
      <c r="I12" s="41">
        <f>SUM(J12/H12)</f>
        <v>8.1631641552278922E-2</v>
      </c>
      <c r="J12" s="53">
        <f>SUM(J10:J11)</f>
        <v>840899.43265909143</v>
      </c>
      <c r="K12" s="53">
        <f>SUM(K10:K11)</f>
        <v>142652.58232609584</v>
      </c>
      <c r="L12" s="42">
        <f>SUM(L10:L11)</f>
        <v>698246.85033299553</v>
      </c>
      <c r="M12" s="26">
        <v>0</v>
      </c>
      <c r="N12" s="43">
        <v>7.25</v>
      </c>
      <c r="O12" s="43">
        <f>SUM(O10:O11)</f>
        <v>6096520.8867784124</v>
      </c>
      <c r="Q12" s="9"/>
      <c r="Z12" s="8"/>
    </row>
    <row r="13" spans="1:26" s="11" customFormat="1" ht="26.25" customHeight="1" thickBot="1" x14ac:dyDescent="0.35">
      <c r="A13" s="85" t="s">
        <v>19</v>
      </c>
      <c r="B13" s="86"/>
      <c r="C13" s="86"/>
      <c r="D13" s="86"/>
      <c r="E13" s="87"/>
      <c r="F13" s="44">
        <f>SUM(F9+F12)</f>
        <v>10301198.691411322</v>
      </c>
      <c r="G13" s="17">
        <f>SUM(H13/F13)</f>
        <v>1.9999938842068878</v>
      </c>
      <c r="H13" s="44">
        <f>SUM(H12+H9)</f>
        <v>20602334.38282264</v>
      </c>
      <c r="I13" s="45">
        <f>SUM(J13/H13)</f>
        <v>0.25020116910545176</v>
      </c>
      <c r="J13" s="46">
        <f>SUM(J9+J12)</f>
        <v>5154728.1488836706</v>
      </c>
      <c r="K13" s="46">
        <f>SUM(K9+K12)</f>
        <v>833745.09624420526</v>
      </c>
      <c r="L13" s="46">
        <f>SUM(M9+L12)</f>
        <v>4320983.0526394658</v>
      </c>
      <c r="M13" s="47">
        <v>0</v>
      </c>
      <c r="N13" s="48">
        <v>7.25</v>
      </c>
      <c r="O13" s="49">
        <f>SUM(O9+O12)</f>
        <v>98628061.709795639</v>
      </c>
      <c r="Q13" s="10"/>
      <c r="Z13" s="12"/>
    </row>
    <row r="14" spans="1:26" ht="26.25" customHeight="1" x14ac:dyDescent="0.25">
      <c r="A14" s="13" t="s">
        <v>98</v>
      </c>
      <c r="Q14" s="1" t="s">
        <v>107</v>
      </c>
    </row>
    <row r="15" spans="1:26" ht="26.25" customHeight="1" thickBot="1" x14ac:dyDescent="0.3">
      <c r="A15" s="2"/>
      <c r="F15" s="55"/>
      <c r="G15" s="55"/>
      <c r="H15" s="58">
        <f>H9-Z43</f>
        <v>8553672.904475471</v>
      </c>
      <c r="I15" s="55" t="s">
        <v>105</v>
      </c>
      <c r="J15" s="55" t="s">
        <v>106</v>
      </c>
      <c r="K15" s="55"/>
      <c r="L15" s="55"/>
      <c r="Q15" s="19">
        <f>O9</f>
        <v>92531540.823017225</v>
      </c>
    </row>
    <row r="16" spans="1:26" ht="26.25" customHeight="1" thickTop="1" thickBot="1" x14ac:dyDescent="0.3">
      <c r="A16" s="74" t="s">
        <v>72</v>
      </c>
      <c r="B16" s="75"/>
      <c r="C16" s="75"/>
      <c r="D16" s="76"/>
      <c r="F16" s="55"/>
      <c r="G16" s="55"/>
      <c r="H16" s="64">
        <f>H12-Z43</f>
        <v>8553629.9044754729</v>
      </c>
      <c r="I16" s="55" t="s">
        <v>104</v>
      </c>
      <c r="J16" s="55"/>
      <c r="K16" s="58">
        <f>J12-K12</f>
        <v>698246.85033299564</v>
      </c>
      <c r="L16" s="55"/>
      <c r="Q16" s="19">
        <f>O9*0.33</f>
        <v>30535408.471595686</v>
      </c>
      <c r="R16" s="1" t="s">
        <v>108</v>
      </c>
    </row>
    <row r="17" spans="1:64" ht="26.25" customHeight="1" thickTop="1" thickBot="1" x14ac:dyDescent="0.35">
      <c r="A17" s="77" t="s">
        <v>66</v>
      </c>
      <c r="B17" s="78"/>
      <c r="C17" s="79">
        <f>F13</f>
        <v>10301198.691411322</v>
      </c>
      <c r="D17" s="80"/>
      <c r="F17" s="55"/>
      <c r="G17" s="55"/>
      <c r="H17" s="55"/>
      <c r="I17" s="55"/>
      <c r="J17" s="55"/>
      <c r="K17" s="58"/>
      <c r="L17" s="55">
        <f>10301746-1747151.79</f>
        <v>8554594.2100000009</v>
      </c>
    </row>
    <row r="18" spans="1:64" ht="26.25" customHeight="1" thickBot="1" x14ac:dyDescent="0.35">
      <c r="A18" s="81" t="s">
        <v>67</v>
      </c>
      <c r="B18" s="82"/>
      <c r="C18" s="83">
        <f>G12</f>
        <v>1</v>
      </c>
      <c r="D18" s="84"/>
      <c r="F18" s="55"/>
      <c r="G18" s="55"/>
      <c r="H18" s="55"/>
      <c r="I18" s="55"/>
      <c r="J18" s="55"/>
      <c r="K18" s="55"/>
      <c r="L18" s="58"/>
      <c r="Q18" s="19">
        <f>O9+Q16</f>
        <v>123066949.29461291</v>
      </c>
      <c r="R18" s="1" t="s">
        <v>109</v>
      </c>
    </row>
    <row r="19" spans="1:64" ht="26.25" customHeight="1" thickTop="1" thickBot="1" x14ac:dyDescent="0.35">
      <c r="A19" s="66" t="s">
        <v>68</v>
      </c>
      <c r="B19" s="67"/>
      <c r="C19" s="68">
        <f>H13</f>
        <v>20602334.38282264</v>
      </c>
      <c r="D19" s="69"/>
      <c r="F19" s="55"/>
      <c r="G19" s="55" t="s">
        <v>37</v>
      </c>
      <c r="H19" s="55"/>
      <c r="I19" s="55"/>
      <c r="J19" s="55"/>
      <c r="K19" s="55"/>
      <c r="L19" s="58">
        <f>H9-1747515.79</f>
        <v>8553672.901411321</v>
      </c>
      <c r="Q19" s="21"/>
      <c r="R19" s="21"/>
    </row>
    <row r="20" spans="1:64" ht="26.25" customHeight="1" thickTop="1" thickBot="1" x14ac:dyDescent="0.35">
      <c r="A20" s="66" t="s">
        <v>69</v>
      </c>
      <c r="B20" s="67"/>
      <c r="C20" s="71">
        <f>I13</f>
        <v>0.25020116910545176</v>
      </c>
      <c r="D20" s="69"/>
      <c r="F20" s="55"/>
      <c r="G20" s="55">
        <v>43.75</v>
      </c>
      <c r="H20" s="55" t="s">
        <v>35</v>
      </c>
      <c r="I20" s="55">
        <f>G20/60</f>
        <v>0.72916666666666663</v>
      </c>
      <c r="J20" s="55" t="s">
        <v>36</v>
      </c>
      <c r="K20" s="55"/>
      <c r="L20" s="55"/>
      <c r="Q20" s="5">
        <f>Q9</f>
        <v>46265770.411508612</v>
      </c>
      <c r="R20" s="1" t="s">
        <v>110</v>
      </c>
    </row>
    <row r="21" spans="1:64" ht="51" customHeight="1" thickTop="1" thickBot="1" x14ac:dyDescent="0.3">
      <c r="A21" s="72" t="s">
        <v>73</v>
      </c>
      <c r="B21" s="73"/>
      <c r="C21" s="70">
        <f>J13</f>
        <v>5154728.1488836706</v>
      </c>
      <c r="D21" s="69"/>
      <c r="F21" s="55"/>
      <c r="G21" s="55">
        <v>26.25</v>
      </c>
      <c r="H21" s="55" t="s">
        <v>35</v>
      </c>
      <c r="I21" s="55">
        <f>G21/60</f>
        <v>0.4375</v>
      </c>
      <c r="J21" s="55" t="s">
        <v>36</v>
      </c>
      <c r="K21" s="55"/>
      <c r="L21" s="55"/>
      <c r="Q21" s="19">
        <f>Q20*0.33</f>
        <v>15267704.235797843</v>
      </c>
      <c r="R21" s="1" t="s">
        <v>111</v>
      </c>
    </row>
    <row r="22" spans="1:64" ht="36" customHeight="1" thickTop="1" thickBot="1" x14ac:dyDescent="0.35">
      <c r="A22" s="66" t="s">
        <v>70</v>
      </c>
      <c r="B22" s="67"/>
      <c r="C22" s="68">
        <f>K9+K12</f>
        <v>833745.09624420526</v>
      </c>
      <c r="D22" s="69"/>
      <c r="E22" s="1" t="s">
        <v>86</v>
      </c>
      <c r="F22" s="55"/>
      <c r="G22" s="55" t="s">
        <v>38</v>
      </c>
      <c r="H22" s="55"/>
      <c r="I22" s="55"/>
      <c r="J22" s="55"/>
      <c r="K22" s="55"/>
      <c r="L22" s="55"/>
      <c r="Q22" s="20">
        <v>3647.2</v>
      </c>
      <c r="R22" s="1" t="s">
        <v>113</v>
      </c>
    </row>
    <row r="23" spans="1:64" ht="36.75" customHeight="1" thickTop="1" thickBot="1" x14ac:dyDescent="0.35">
      <c r="A23" s="66" t="s">
        <v>71</v>
      </c>
      <c r="B23" s="67"/>
      <c r="C23" s="70">
        <f>C21-C22</f>
        <v>4320983.0526394658</v>
      </c>
      <c r="D23" s="69"/>
      <c r="F23" s="55"/>
      <c r="G23" s="55">
        <v>12.3</v>
      </c>
      <c r="H23" s="55" t="s">
        <v>35</v>
      </c>
      <c r="I23" s="55">
        <f t="shared" ref="I23:I24" si="7">G23/60</f>
        <v>0.20500000000000002</v>
      </c>
      <c r="J23" s="55" t="s">
        <v>36</v>
      </c>
      <c r="K23" s="55"/>
      <c r="L23" s="55"/>
      <c r="Q23" s="20">
        <v>549.1</v>
      </c>
      <c r="R23" s="1" t="s">
        <v>113</v>
      </c>
    </row>
    <row r="24" spans="1:64" ht="26.25" customHeight="1" x14ac:dyDescent="0.25">
      <c r="F24" s="55"/>
      <c r="G24" s="55">
        <v>7.4</v>
      </c>
      <c r="H24" s="55" t="s">
        <v>35</v>
      </c>
      <c r="I24" s="55">
        <f t="shared" si="7"/>
        <v>0.12333333333333334</v>
      </c>
      <c r="J24" s="55" t="s">
        <v>36</v>
      </c>
      <c r="K24" s="55"/>
      <c r="L24" s="55"/>
      <c r="Q24" s="19">
        <f>SUM(Q20+Q21+Q22+Q23)</f>
        <v>61537670.947306462</v>
      </c>
      <c r="R24" s="1" t="s">
        <v>112</v>
      </c>
    </row>
    <row r="25" spans="1:64" ht="26.25" customHeight="1" x14ac:dyDescent="0.25">
      <c r="F25" s="55"/>
      <c r="G25" s="55"/>
      <c r="H25" s="55"/>
      <c r="I25" s="55"/>
      <c r="J25" s="55"/>
      <c r="K25" s="55"/>
      <c r="L25" s="55"/>
    </row>
    <row r="27" spans="1:64" ht="26.25" customHeight="1" x14ac:dyDescent="0.25">
      <c r="Y27" s="1" t="s">
        <v>87</v>
      </c>
    </row>
    <row r="28" spans="1:64" ht="86.25" customHeight="1" x14ac:dyDescent="0.25">
      <c r="A28" s="14"/>
      <c r="G28" s="54" t="s">
        <v>39</v>
      </c>
      <c r="H28" s="54"/>
      <c r="I28" s="55"/>
      <c r="J28" s="55"/>
      <c r="K28" s="55"/>
      <c r="L28" s="55"/>
      <c r="M28" s="55"/>
      <c r="N28" s="55"/>
      <c r="O28" s="55"/>
      <c r="P28" s="56" t="s">
        <v>47</v>
      </c>
      <c r="Q28" s="56" t="s">
        <v>48</v>
      </c>
      <c r="R28" s="56" t="s">
        <v>49</v>
      </c>
      <c r="S28" s="57"/>
      <c r="T28" s="57"/>
      <c r="U28" s="55"/>
      <c r="V28" s="55"/>
      <c r="W28" s="55"/>
      <c r="X28" s="55"/>
      <c r="Y28" s="57" t="s">
        <v>77</v>
      </c>
      <c r="Z28" s="58" t="s">
        <v>88</v>
      </c>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row>
    <row r="29" spans="1:64" ht="26.25" customHeight="1" thickBot="1" x14ac:dyDescent="0.3">
      <c r="G29" s="59" t="s">
        <v>25</v>
      </c>
      <c r="H29" s="59"/>
      <c r="I29" s="55"/>
      <c r="J29" s="55"/>
      <c r="K29" s="55"/>
      <c r="L29" s="55"/>
      <c r="M29" s="55"/>
      <c r="N29" s="55"/>
      <c r="O29" s="55" t="s">
        <v>40</v>
      </c>
      <c r="P29" s="60">
        <f>P45</f>
        <v>13550035.257000001</v>
      </c>
      <c r="Q29" s="55">
        <f>P29/53</f>
        <v>255661.04258490569</v>
      </c>
      <c r="R29" s="55">
        <f>Q29*0.3</f>
        <v>76698.312775471699</v>
      </c>
      <c r="S29" s="55" t="s">
        <v>59</v>
      </c>
      <c r="T29" s="55" t="s">
        <v>60</v>
      </c>
      <c r="U29" s="60">
        <f>R29*22</f>
        <v>1687362.8810603775</v>
      </c>
      <c r="V29" s="55" t="s">
        <v>44</v>
      </c>
      <c r="W29" s="55"/>
      <c r="X29" s="55"/>
      <c r="Y29" s="55" t="s">
        <v>74</v>
      </c>
      <c r="Z29" s="58">
        <f>R29*5</f>
        <v>383491.56387735851</v>
      </c>
      <c r="AA29" s="55" t="s">
        <v>78</v>
      </c>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row>
    <row r="30" spans="1:64" ht="26.25" customHeight="1" thickBot="1" x14ac:dyDescent="0.3">
      <c r="G30" s="59" t="s">
        <v>26</v>
      </c>
      <c r="H30" s="59"/>
      <c r="I30" s="55"/>
      <c r="J30" s="55"/>
      <c r="K30" s="55"/>
      <c r="L30" s="55"/>
      <c r="M30" s="55"/>
      <c r="N30" s="55"/>
      <c r="O30" s="55" t="s">
        <v>41</v>
      </c>
      <c r="P30" s="60">
        <f>P45</f>
        <v>13550035.257000001</v>
      </c>
      <c r="Q30" s="55">
        <f>P30/53</f>
        <v>255661.04258490569</v>
      </c>
      <c r="R30" s="55">
        <f>Q30*0.1</f>
        <v>25566.10425849057</v>
      </c>
      <c r="S30" s="55" t="s">
        <v>61</v>
      </c>
      <c r="T30" s="55" t="s">
        <v>62</v>
      </c>
      <c r="U30" s="60">
        <f>R30*10</f>
        <v>255661.04258490569</v>
      </c>
      <c r="V30" s="55" t="s">
        <v>45</v>
      </c>
      <c r="W30" s="55"/>
      <c r="X30" s="55"/>
      <c r="Y30" s="55" t="s">
        <v>75</v>
      </c>
      <c r="Z30" s="58">
        <f>R30*3</f>
        <v>76698.312775471713</v>
      </c>
      <c r="AA30" s="55" t="s">
        <v>79</v>
      </c>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row>
    <row r="31" spans="1:64" ht="26.25" customHeight="1" x14ac:dyDescent="0.25">
      <c r="G31" s="55"/>
      <c r="H31" s="55"/>
      <c r="I31" s="55"/>
      <c r="J31" s="55"/>
      <c r="K31" s="55"/>
      <c r="L31" s="55"/>
      <c r="M31" s="55"/>
      <c r="N31" s="55"/>
      <c r="O31" s="55"/>
      <c r="P31" s="55"/>
      <c r="Q31" s="55"/>
      <c r="R31" s="55"/>
      <c r="S31" s="55"/>
      <c r="T31" s="55"/>
      <c r="U31" s="61"/>
      <c r="V31" s="55"/>
      <c r="W31" s="55"/>
      <c r="X31" s="55"/>
      <c r="Y31" s="55"/>
      <c r="Z31" s="58"/>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row>
    <row r="32" spans="1:64" ht="26.25" customHeight="1" thickBot="1" x14ac:dyDescent="0.3">
      <c r="G32" s="55"/>
      <c r="H32" s="55"/>
      <c r="I32" s="55"/>
      <c r="J32" s="55"/>
      <c r="K32" s="55"/>
      <c r="L32" s="55"/>
      <c r="M32" s="55"/>
      <c r="N32" s="55"/>
      <c r="O32" s="55"/>
      <c r="P32" s="60">
        <f>P45</f>
        <v>13550035.257000001</v>
      </c>
      <c r="Q32" s="55">
        <f>P32/53</f>
        <v>255661.04258490569</v>
      </c>
      <c r="R32" s="55" t="s">
        <v>53</v>
      </c>
      <c r="S32" s="55" t="s">
        <v>54</v>
      </c>
      <c r="T32" s="55" t="s">
        <v>52</v>
      </c>
      <c r="U32" s="55">
        <f>Q32*11</f>
        <v>2812271.4684339627</v>
      </c>
      <c r="V32" s="55" t="s">
        <v>55</v>
      </c>
      <c r="W32" s="55"/>
      <c r="X32" s="55"/>
      <c r="Y32" s="55" t="s">
        <v>76</v>
      </c>
      <c r="Z32" s="58">
        <f>Q32*2</f>
        <v>511322.08516981138</v>
      </c>
      <c r="AA32" s="55" t="s">
        <v>80</v>
      </c>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row>
    <row r="33" spans="7:64" ht="26.25" customHeight="1" x14ac:dyDescent="0.25">
      <c r="G33" s="55"/>
      <c r="H33" s="55"/>
      <c r="I33" s="55"/>
      <c r="J33" s="55"/>
      <c r="K33" s="55"/>
      <c r="L33" s="55"/>
      <c r="M33" s="55"/>
      <c r="N33" s="55"/>
      <c r="O33" s="55"/>
      <c r="P33" s="55"/>
      <c r="Q33" s="55"/>
      <c r="R33" s="55"/>
      <c r="S33" s="55"/>
      <c r="T33" s="55"/>
      <c r="U33" s="55"/>
      <c r="V33" s="55"/>
      <c r="W33" s="55"/>
      <c r="X33" s="55"/>
      <c r="Y33" s="55"/>
      <c r="Z33" s="58"/>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row>
    <row r="34" spans="7:64" ht="87" customHeight="1" x14ac:dyDescent="0.25">
      <c r="G34" s="55"/>
      <c r="H34" s="55"/>
      <c r="I34" s="55"/>
      <c r="J34" s="55"/>
      <c r="K34" s="55"/>
      <c r="L34" s="55"/>
      <c r="M34" s="55"/>
      <c r="N34" s="55"/>
      <c r="O34" s="55"/>
      <c r="P34" s="55"/>
      <c r="Q34" s="55"/>
      <c r="R34" s="55"/>
      <c r="S34" s="55"/>
      <c r="T34" s="55"/>
      <c r="U34" s="61">
        <f>SUM(U32+U30+U29)</f>
        <v>4755295.3920792462</v>
      </c>
      <c r="V34" s="57" t="s">
        <v>58</v>
      </c>
      <c r="W34" s="55"/>
      <c r="X34" s="55"/>
      <c r="Y34" s="55"/>
      <c r="Z34" s="58">
        <f>SUM(Z29:Z32)</f>
        <v>971511.96182264155</v>
      </c>
      <c r="AA34" s="55" t="s">
        <v>90</v>
      </c>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row>
    <row r="35" spans="7:64" ht="72" customHeight="1" x14ac:dyDescent="0.25">
      <c r="G35" s="55"/>
      <c r="H35" s="55"/>
      <c r="I35" s="55"/>
      <c r="J35" s="55"/>
      <c r="K35" s="55"/>
      <c r="L35" s="55"/>
      <c r="M35" s="55"/>
      <c r="N35" s="55"/>
      <c r="O35" s="55"/>
      <c r="P35" s="57" t="s">
        <v>46</v>
      </c>
      <c r="Q35" s="56" t="s">
        <v>48</v>
      </c>
      <c r="R35" s="56" t="s">
        <v>49</v>
      </c>
      <c r="S35" s="55" t="s">
        <v>50</v>
      </c>
      <c r="T35" s="55" t="s">
        <v>51</v>
      </c>
      <c r="U35" s="55"/>
      <c r="V35" s="55"/>
      <c r="W35" s="55"/>
      <c r="X35" s="55"/>
      <c r="Y35" s="55" t="s">
        <v>81</v>
      </c>
      <c r="Z35" s="58"/>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row>
    <row r="36" spans="7:64" ht="26.25" customHeight="1" thickBot="1" x14ac:dyDescent="0.3">
      <c r="G36" s="55"/>
      <c r="H36" s="55"/>
      <c r="I36" s="55"/>
      <c r="J36" s="55"/>
      <c r="K36" s="55"/>
      <c r="L36" s="55"/>
      <c r="M36" s="55"/>
      <c r="N36" s="55"/>
      <c r="O36" s="55" t="s">
        <v>84</v>
      </c>
      <c r="P36" s="60">
        <f>P42</f>
        <v>10823211.245000001</v>
      </c>
      <c r="Q36" s="55">
        <f>P36/53</f>
        <v>204211.53292452832</v>
      </c>
      <c r="R36" s="55">
        <f>Q36*0.3</f>
        <v>61263.459877358495</v>
      </c>
      <c r="S36" s="55" t="s">
        <v>28</v>
      </c>
      <c r="T36" s="55" t="s">
        <v>42</v>
      </c>
      <c r="U36" s="55">
        <f>22*R36</f>
        <v>1347796.1173018869</v>
      </c>
      <c r="V36" s="55" t="s">
        <v>44</v>
      </c>
      <c r="W36" s="55"/>
      <c r="X36" s="55"/>
      <c r="Y36" s="55" t="s">
        <v>82</v>
      </c>
      <c r="Z36" s="58">
        <f>R36*5</f>
        <v>306317.29938679247</v>
      </c>
      <c r="AA36" s="55" t="s">
        <v>78</v>
      </c>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row>
    <row r="37" spans="7:64" ht="26.25" customHeight="1" thickBot="1" x14ac:dyDescent="0.3">
      <c r="G37" s="55"/>
      <c r="H37" s="55"/>
      <c r="I37" s="55"/>
      <c r="J37" s="55"/>
      <c r="K37" s="55"/>
      <c r="L37" s="55"/>
      <c r="M37" s="55"/>
      <c r="N37" s="55"/>
      <c r="O37" s="55" t="s">
        <v>85</v>
      </c>
      <c r="P37" s="60">
        <f>P42</f>
        <v>10823211.245000001</v>
      </c>
      <c r="Q37" s="55">
        <f>P37/53</f>
        <v>204211.53292452832</v>
      </c>
      <c r="R37" s="55">
        <f>Q37*0.1</f>
        <v>20421.153292452833</v>
      </c>
      <c r="S37" s="55" t="s">
        <v>29</v>
      </c>
      <c r="T37" s="55" t="s">
        <v>43</v>
      </c>
      <c r="U37" s="55">
        <f>10*R37</f>
        <v>204211.53292452832</v>
      </c>
      <c r="V37" s="55" t="s">
        <v>45</v>
      </c>
      <c r="W37" s="55"/>
      <c r="X37" s="55"/>
      <c r="Y37" s="55" t="s">
        <v>75</v>
      </c>
      <c r="Z37" s="58">
        <f>R37*3</f>
        <v>61263.459877358502</v>
      </c>
      <c r="AA37" s="55" t="s">
        <v>79</v>
      </c>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row>
    <row r="38" spans="7:64" ht="26.25" customHeight="1" x14ac:dyDescent="0.25">
      <c r="G38" s="55"/>
      <c r="H38" s="55"/>
      <c r="I38" s="55"/>
      <c r="J38" s="55"/>
      <c r="K38" s="55"/>
      <c r="L38" s="55"/>
      <c r="M38" s="55"/>
      <c r="N38" s="55"/>
      <c r="O38" s="61"/>
      <c r="P38" s="55"/>
      <c r="Q38" s="55"/>
      <c r="R38" s="55"/>
      <c r="S38" s="55"/>
      <c r="T38" s="55"/>
      <c r="U38" s="55"/>
      <c r="V38" s="55"/>
      <c r="W38" s="55"/>
      <c r="X38" s="55"/>
      <c r="Y38" s="55"/>
      <c r="Z38" s="58"/>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row>
    <row r="39" spans="7:64" ht="26.25" customHeight="1" thickBot="1" x14ac:dyDescent="0.3">
      <c r="G39" s="55"/>
      <c r="H39" s="55"/>
      <c r="I39" s="55"/>
      <c r="J39" s="55"/>
      <c r="K39" s="55"/>
      <c r="L39" s="55"/>
      <c r="M39" s="55"/>
      <c r="N39" s="55"/>
      <c r="O39" s="55"/>
      <c r="P39" s="60">
        <f>P42</f>
        <v>10823211.245000001</v>
      </c>
      <c r="Q39" s="55">
        <f>P39/53</f>
        <v>204211.53292452832</v>
      </c>
      <c r="R39" s="55" t="s">
        <v>53</v>
      </c>
      <c r="S39" s="55" t="s">
        <v>54</v>
      </c>
      <c r="T39" s="55" t="s">
        <v>52</v>
      </c>
      <c r="U39" s="55">
        <f>Q39*11</f>
        <v>2246326.8621698115</v>
      </c>
      <c r="V39" s="55" t="s">
        <v>56</v>
      </c>
      <c r="W39" s="55"/>
      <c r="X39" s="55"/>
      <c r="Y39" s="55" t="s">
        <v>83</v>
      </c>
      <c r="Z39" s="58">
        <f>Q39*2</f>
        <v>408423.06584905664</v>
      </c>
      <c r="AA39" s="55" t="s">
        <v>80</v>
      </c>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row>
    <row r="40" spans="7:64" ht="26.25" customHeight="1" x14ac:dyDescent="0.25">
      <c r="G40" s="55"/>
      <c r="H40" s="55"/>
      <c r="I40" s="55"/>
      <c r="J40" s="55"/>
      <c r="K40" s="55"/>
      <c r="L40" s="55"/>
      <c r="M40" s="55"/>
      <c r="N40" s="55"/>
      <c r="O40" s="55"/>
      <c r="P40" s="55"/>
      <c r="Q40" s="55"/>
      <c r="R40" s="55"/>
      <c r="S40" s="55"/>
      <c r="T40" s="55"/>
      <c r="U40" s="55"/>
      <c r="V40" s="55"/>
      <c r="W40" s="55"/>
      <c r="X40" s="55"/>
      <c r="Y40" s="55"/>
      <c r="Z40" s="58"/>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row>
    <row r="41" spans="7:64" ht="26.25" customHeight="1" thickBot="1" x14ac:dyDescent="0.3">
      <c r="G41" s="55"/>
      <c r="H41" s="55"/>
      <c r="I41" s="55"/>
      <c r="J41" s="55"/>
      <c r="K41" s="55"/>
      <c r="L41" s="55"/>
      <c r="M41" s="55"/>
      <c r="N41" s="55"/>
      <c r="O41" s="62" t="s">
        <v>99</v>
      </c>
      <c r="P41" s="63">
        <v>13858145</v>
      </c>
      <c r="Q41" s="55"/>
      <c r="R41" s="55"/>
      <c r="S41" s="55"/>
      <c r="T41" s="55"/>
      <c r="U41" s="58">
        <f>SUM(U39+U37+U36)</f>
        <v>3798334.5123962266</v>
      </c>
      <c r="V41" s="57" t="s">
        <v>57</v>
      </c>
      <c r="W41" s="55"/>
      <c r="X41" s="55"/>
      <c r="Y41" s="55"/>
      <c r="Z41" s="58">
        <f>SUM(Z36:Z39)</f>
        <v>776003.82511320757</v>
      </c>
      <c r="AA41" s="55" t="s">
        <v>89</v>
      </c>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row>
    <row r="42" spans="7:64" ht="26.25" customHeight="1" x14ac:dyDescent="0.25">
      <c r="G42" s="55"/>
      <c r="H42" s="55"/>
      <c r="I42" s="55"/>
      <c r="J42" s="55"/>
      <c r="K42" s="55"/>
      <c r="L42" s="55"/>
      <c r="M42" s="55"/>
      <c r="N42" s="55"/>
      <c r="O42" s="62" t="s">
        <v>101</v>
      </c>
      <c r="P42" s="62">
        <f>P41*(1-0.219)</f>
        <v>10823211.245000001</v>
      </c>
      <c r="Q42" s="55"/>
      <c r="R42" s="55"/>
      <c r="S42" s="55"/>
      <c r="T42" s="55"/>
      <c r="U42" s="55"/>
      <c r="V42" s="55"/>
      <c r="W42" s="55"/>
      <c r="X42" s="55"/>
      <c r="Y42" s="55"/>
      <c r="Z42" s="58"/>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row>
    <row r="43" spans="7:64" ht="26.25" customHeight="1" x14ac:dyDescent="0.25">
      <c r="G43" s="55"/>
      <c r="H43" s="55"/>
      <c r="I43" s="55"/>
      <c r="J43" s="55"/>
      <c r="K43" s="55"/>
      <c r="L43" s="55"/>
      <c r="M43" s="55"/>
      <c r="N43" s="55"/>
      <c r="O43" s="62"/>
      <c r="P43" s="62"/>
      <c r="Q43" s="55"/>
      <c r="R43" s="55"/>
      <c r="S43" s="55"/>
      <c r="T43" s="55"/>
      <c r="U43" s="55"/>
      <c r="V43" s="55"/>
      <c r="W43" s="55"/>
      <c r="X43" s="55"/>
      <c r="Y43" s="55"/>
      <c r="Z43" s="58">
        <f>Z34+Z41</f>
        <v>1747515.7869358491</v>
      </c>
      <c r="AA43" s="55" t="s">
        <v>97</v>
      </c>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row>
    <row r="44" spans="7:64" ht="26.25" customHeight="1" thickBot="1" x14ac:dyDescent="0.3">
      <c r="G44" s="55"/>
      <c r="H44" s="55"/>
      <c r="I44" s="55"/>
      <c r="J44" s="55"/>
      <c r="K44" s="55"/>
      <c r="L44" s="55"/>
      <c r="M44" s="55"/>
      <c r="N44" s="55"/>
      <c r="O44" s="62" t="s">
        <v>99</v>
      </c>
      <c r="P44" s="60">
        <v>17349597</v>
      </c>
      <c r="Q44" s="55"/>
      <c r="R44" s="55"/>
      <c r="S44" s="55"/>
      <c r="T44" s="55"/>
      <c r="U44" s="55"/>
      <c r="V44" s="55"/>
      <c r="W44" s="55"/>
      <c r="X44" s="55"/>
      <c r="Y44" s="55"/>
      <c r="Z44" s="58"/>
      <c r="AA44" s="62" t="s">
        <v>102</v>
      </c>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row>
    <row r="45" spans="7:64" ht="26.25" customHeight="1" x14ac:dyDescent="0.25">
      <c r="G45" s="55"/>
      <c r="H45" s="55"/>
      <c r="I45" s="55"/>
      <c r="J45" s="55"/>
      <c r="K45" s="55"/>
      <c r="L45" s="55"/>
      <c r="M45" s="55"/>
      <c r="N45" s="55"/>
      <c r="O45" s="62" t="s">
        <v>100</v>
      </c>
      <c r="P45" s="62">
        <f>P44*(1-0.219)</f>
        <v>13550035.257000001</v>
      </c>
      <c r="Q45" s="55"/>
      <c r="R45" s="55"/>
      <c r="S45" s="55"/>
      <c r="T45" s="55"/>
      <c r="U45" s="55"/>
      <c r="V45" s="55"/>
      <c r="W45" s="55"/>
      <c r="X45" s="55"/>
      <c r="Y45" s="55"/>
      <c r="Z45" s="58">
        <f>H12</f>
        <v>10301145.691411322</v>
      </c>
      <c r="AA45" s="55" t="s">
        <v>92</v>
      </c>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row>
    <row r="46" spans="7:64" ht="26.25" customHeight="1" x14ac:dyDescent="0.25">
      <c r="G46" s="55"/>
      <c r="H46" s="55"/>
      <c r="I46" s="55"/>
      <c r="J46" s="55"/>
      <c r="K46" s="55"/>
      <c r="L46" s="55"/>
      <c r="M46" s="55"/>
      <c r="N46" s="55"/>
      <c r="O46" s="62"/>
      <c r="P46" s="62"/>
      <c r="Q46" s="55"/>
      <c r="R46" s="55"/>
      <c r="S46" s="55"/>
      <c r="T46" s="55"/>
      <c r="U46" s="55"/>
      <c r="V46" s="55"/>
      <c r="W46" s="55"/>
      <c r="X46" s="55"/>
      <c r="Y46" s="55"/>
      <c r="Z46" s="58"/>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row>
    <row r="47" spans="7:64" ht="26.25" customHeight="1" x14ac:dyDescent="0.25">
      <c r="G47" s="55"/>
      <c r="H47" s="55"/>
      <c r="I47" s="55"/>
      <c r="J47" s="55"/>
      <c r="K47" s="55"/>
      <c r="L47" s="55"/>
      <c r="M47" s="55"/>
      <c r="N47" s="55"/>
      <c r="O47" s="55"/>
      <c r="P47" s="55"/>
      <c r="Q47" s="55"/>
      <c r="R47" s="55"/>
      <c r="S47" s="55"/>
      <c r="T47" s="55"/>
      <c r="U47" s="55"/>
      <c r="V47" s="55"/>
      <c r="W47" s="55"/>
      <c r="X47" s="55"/>
      <c r="Y47" s="55"/>
      <c r="Z47" s="58">
        <f>Z45-Z43</f>
        <v>8553629.9044754729</v>
      </c>
      <c r="AA47" s="55" t="s">
        <v>114</v>
      </c>
      <c r="AB47" s="55"/>
      <c r="AC47" s="58">
        <f>Z47+Z43</f>
        <v>10301145.691411322</v>
      </c>
      <c r="AD47" s="55">
        <f>AC47*2</f>
        <v>20602291.382822644</v>
      </c>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row>
    <row r="49" spans="26:27" ht="26.25" customHeight="1" x14ac:dyDescent="0.25">
      <c r="Z49" s="5">
        <f>H13</f>
        <v>20602334.38282264</v>
      </c>
      <c r="AA49" s="1" t="s">
        <v>91</v>
      </c>
    </row>
    <row r="50" spans="26:27" ht="26.25" customHeight="1" x14ac:dyDescent="0.25">
      <c r="Z50" s="5">
        <f>Z43*2</f>
        <v>3495031.5738716982</v>
      </c>
      <c r="AA50" s="1" t="s">
        <v>93</v>
      </c>
    </row>
    <row r="51" spans="26:27" ht="26.25" customHeight="1" x14ac:dyDescent="0.25">
      <c r="Z51" s="5">
        <f>Z44*2</f>
        <v>0</v>
      </c>
      <c r="AA51" s="1" t="s">
        <v>94</v>
      </c>
    </row>
  </sheetData>
  <mergeCells count="21">
    <mergeCell ref="A13:E13"/>
    <mergeCell ref="A9:E9"/>
    <mergeCell ref="B1:C1"/>
    <mergeCell ref="B10:C11"/>
    <mergeCell ref="A12:E12"/>
    <mergeCell ref="B2:C8"/>
    <mergeCell ref="A16:D16"/>
    <mergeCell ref="A17:B17"/>
    <mergeCell ref="C17:D17"/>
    <mergeCell ref="A18:B18"/>
    <mergeCell ref="C18:D18"/>
    <mergeCell ref="A22:B22"/>
    <mergeCell ref="C22:D22"/>
    <mergeCell ref="A23:B23"/>
    <mergeCell ref="C23:D23"/>
    <mergeCell ref="A19:B19"/>
    <mergeCell ref="C19:D19"/>
    <mergeCell ref="A20:B20"/>
    <mergeCell ref="C20:D20"/>
    <mergeCell ref="A21:B21"/>
    <mergeCell ref="C21:D2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USDA FNCS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Ragland-Greene, Rachelle - FNS</dc:creator>
  <cp:lastModifiedBy>Ragland-Greene, Rachelle - FNS</cp:lastModifiedBy>
  <dcterms:created xsi:type="dcterms:W3CDTF">2019-03-28T18:33:56Z</dcterms:created>
  <dcterms:modified xsi:type="dcterms:W3CDTF">2019-07-10T17:24:02Z</dcterms:modified>
</cp:coreProperties>
</file>